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SU\Прогноз СЭР на 2024-2026\"/>
    </mc:Choice>
  </mc:AlternateContent>
  <bookViews>
    <workbookView xWindow="0" yWindow="0" windowWidth="23040" windowHeight="8640" firstSheet="1" activeTab="1"/>
  </bookViews>
  <sheets>
    <sheet name="Итоги 2022" sheetId="4" state="hidden" r:id="rId1"/>
    <sheet name="Прогноз на 2024-2026!!!" sheetId="3" r:id="rId2"/>
    <sheet name="Прогноз на 2023-2025!!!" sheetId="2" state="hidden" r:id="rId3"/>
    <sheet name="Прогноз на 2022-2024 !!!" sheetId="1" state="hidden" r:id="rId4"/>
  </sheets>
  <definedNames>
    <definedName name="_xlnm.Print_Titles" localSheetId="0">'Итоги 2022'!$9:$10</definedName>
    <definedName name="_xlnm.Print_Titles" localSheetId="3">'Прогноз на 2022-2024 !!!'!$9:$10</definedName>
    <definedName name="_xlnm.Print_Titles" localSheetId="2">'Прогноз на 2023-2025!!!'!$9:$10</definedName>
    <definedName name="_xlnm.Print_Titles" localSheetId="1">'Прогноз на 2024-2026!!!'!$9:$10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1" i="3" l="1"/>
  <c r="T21" i="3" s="1"/>
  <c r="Q21" i="3"/>
  <c r="S21" i="3" s="1"/>
  <c r="U21" i="3" s="1"/>
  <c r="P21" i="3"/>
  <c r="U20" i="3"/>
  <c r="T20" i="3"/>
  <c r="S20" i="3"/>
  <c r="R20" i="3"/>
  <c r="P20" i="3"/>
  <c r="T19" i="3"/>
  <c r="Q20" i="3"/>
  <c r="P19" i="3"/>
  <c r="U29" i="3"/>
  <c r="T29" i="3"/>
  <c r="S29" i="3"/>
  <c r="R29" i="3"/>
  <c r="Q29" i="3"/>
  <c r="P29" i="3"/>
  <c r="U47" i="3"/>
  <c r="T47" i="3"/>
  <c r="S47" i="3"/>
  <c r="R47" i="3"/>
  <c r="Q47" i="3"/>
  <c r="P47" i="3"/>
  <c r="U36" i="3"/>
  <c r="S36" i="3"/>
  <c r="T48" i="3"/>
  <c r="U52" i="3"/>
  <c r="T52" i="3"/>
  <c r="S52" i="3"/>
  <c r="U30" i="3"/>
  <c r="T30" i="3"/>
  <c r="S30" i="3"/>
  <c r="R30" i="3"/>
  <c r="Q30" i="3"/>
  <c r="U31" i="3"/>
  <c r="T31" i="3"/>
  <c r="S31" i="3"/>
  <c r="R31" i="3"/>
  <c r="Q31" i="3"/>
  <c r="P31" i="3"/>
  <c r="T33" i="3"/>
  <c r="S33" i="3"/>
  <c r="U33" i="3" s="1"/>
  <c r="R33" i="3"/>
  <c r="Q33" i="3"/>
  <c r="P33" i="3"/>
  <c r="U32" i="3"/>
  <c r="T32" i="3"/>
  <c r="S32" i="3"/>
  <c r="R32" i="3"/>
  <c r="Q32" i="3"/>
  <c r="P32" i="3"/>
  <c r="U24" i="3"/>
  <c r="S24" i="3"/>
  <c r="Q24" i="3"/>
  <c r="U23" i="3"/>
  <c r="T23" i="3"/>
  <c r="S23" i="3"/>
  <c r="R23" i="3"/>
  <c r="Q23" i="3"/>
  <c r="P23" i="3"/>
  <c r="U22" i="3"/>
  <c r="T22" i="3"/>
  <c r="S22" i="3"/>
  <c r="R22" i="3"/>
  <c r="Q22" i="3"/>
  <c r="P22" i="3"/>
  <c r="Q52" i="3"/>
  <c r="S49" i="3"/>
  <c r="U49" i="3" s="1"/>
  <c r="Q49" i="3"/>
  <c r="T96" i="3"/>
  <c r="R96" i="3"/>
  <c r="P96" i="3"/>
  <c r="Q96" i="3"/>
  <c r="S96" i="3" s="1"/>
  <c r="U96" i="3" s="1"/>
  <c r="T94" i="3"/>
  <c r="R94" i="3"/>
  <c r="P94" i="3"/>
  <c r="U89" i="3"/>
  <c r="U88" i="3"/>
  <c r="U87" i="3"/>
  <c r="U86" i="3"/>
  <c r="U85" i="3"/>
  <c r="U84" i="3"/>
  <c r="U83" i="3"/>
  <c r="U82" i="3"/>
  <c r="U81" i="3"/>
  <c r="U80" i="3"/>
  <c r="U78" i="3"/>
  <c r="U77" i="3"/>
  <c r="U76" i="3"/>
  <c r="U74" i="3"/>
  <c r="U73" i="3"/>
  <c r="U72" i="3"/>
  <c r="U71" i="3"/>
  <c r="U70" i="3"/>
  <c r="U69" i="3"/>
  <c r="T75" i="3"/>
  <c r="S69" i="3"/>
  <c r="S89" i="3"/>
  <c r="S88" i="3"/>
  <c r="S87" i="3"/>
  <c r="S86" i="3"/>
  <c r="S85" i="3"/>
  <c r="S84" i="3"/>
  <c r="S83" i="3"/>
  <c r="S82" i="3"/>
  <c r="S81" i="3"/>
  <c r="S80" i="3"/>
  <c r="S78" i="3"/>
  <c r="S77" i="3"/>
  <c r="S76" i="3"/>
  <c r="S74" i="3"/>
  <c r="R69" i="3"/>
  <c r="R70" i="3"/>
  <c r="R78" i="3"/>
  <c r="R77" i="3"/>
  <c r="R76" i="3"/>
  <c r="R89" i="3"/>
  <c r="R88" i="3"/>
  <c r="R87" i="3"/>
  <c r="R86" i="3"/>
  <c r="R85" i="3"/>
  <c r="R84" i="3"/>
  <c r="R83" i="3"/>
  <c r="R82" i="3"/>
  <c r="R81" i="3"/>
  <c r="R80" i="3"/>
  <c r="Q89" i="3"/>
  <c r="Q88" i="3"/>
  <c r="Q87" i="3"/>
  <c r="Q86" i="3"/>
  <c r="Q85" i="3"/>
  <c r="Q84" i="3"/>
  <c r="Q83" i="3"/>
  <c r="Q82" i="3"/>
  <c r="Q81" i="3"/>
  <c r="Q80" i="3"/>
  <c r="T63" i="3" l="1"/>
  <c r="R63" i="3"/>
  <c r="P63" i="3"/>
  <c r="P62" i="3"/>
  <c r="S60" i="3"/>
  <c r="O92" i="3"/>
  <c r="O75" i="3"/>
  <c r="M97" i="3" l="1"/>
  <c r="M95" i="3"/>
  <c r="M93" i="3"/>
  <c r="M91" i="3"/>
  <c r="M79" i="3"/>
  <c r="M76" i="3"/>
  <c r="M75" i="3"/>
  <c r="M68" i="3"/>
  <c r="M67" i="3" s="1"/>
  <c r="M66" i="3" s="1"/>
  <c r="M47" i="3"/>
  <c r="M14" i="3"/>
  <c r="N96" i="3"/>
  <c r="N97" i="3" s="1"/>
  <c r="N95" i="3"/>
  <c r="N94" i="3"/>
  <c r="N92" i="3"/>
  <c r="N93" i="3" s="1"/>
  <c r="N79" i="3"/>
  <c r="N75" i="3"/>
  <c r="N68" i="3"/>
  <c r="N67" i="3" s="1"/>
  <c r="N66" i="3" s="1"/>
  <c r="N62" i="3"/>
  <c r="N57" i="3"/>
  <c r="N47" i="3"/>
  <c r="N31" i="3"/>
  <c r="N30" i="3"/>
  <c r="N27" i="3"/>
  <c r="N26" i="3"/>
  <c r="N24" i="3"/>
  <c r="N21" i="3"/>
  <c r="N20" i="3"/>
  <c r="N17" i="3"/>
  <c r="N16" i="3"/>
  <c r="N15" i="3"/>
  <c r="N14" i="3"/>
  <c r="N13" i="3"/>
  <c r="N12" i="3" s="1"/>
  <c r="N90" i="3" l="1"/>
  <c r="M90" i="3"/>
  <c r="N91" i="3"/>
  <c r="S12" i="4"/>
  <c r="R12" i="4"/>
  <c r="Q12" i="4"/>
  <c r="P12" i="4"/>
  <c r="O12" i="4"/>
  <c r="N12" i="4"/>
  <c r="M12" i="4"/>
  <c r="K12" i="4"/>
  <c r="L97" i="4"/>
  <c r="K97" i="4"/>
  <c r="J97" i="4"/>
  <c r="I97" i="4"/>
  <c r="F97" i="4"/>
  <c r="E97" i="4"/>
  <c r="D97" i="4"/>
  <c r="M96" i="4"/>
  <c r="N96" i="4" s="1"/>
  <c r="N97" i="4" s="1"/>
  <c r="G96" i="4"/>
  <c r="G97" i="4" s="1"/>
  <c r="L95" i="4"/>
  <c r="K95" i="4"/>
  <c r="J95" i="4"/>
  <c r="I95" i="4"/>
  <c r="H95" i="4"/>
  <c r="F95" i="4"/>
  <c r="E95" i="4"/>
  <c r="D95" i="4"/>
  <c r="M94" i="4"/>
  <c r="N94" i="4" s="1"/>
  <c r="N95" i="4" s="1"/>
  <c r="G94" i="4"/>
  <c r="G95" i="4" s="1"/>
  <c r="L93" i="4"/>
  <c r="K93" i="4"/>
  <c r="J93" i="4"/>
  <c r="I93" i="4"/>
  <c r="F93" i="4"/>
  <c r="P92" i="4"/>
  <c r="M92" i="4"/>
  <c r="N92" i="4" s="1"/>
  <c r="G92" i="4"/>
  <c r="G93" i="4" s="1"/>
  <c r="D92" i="4"/>
  <c r="E93" i="4" s="1"/>
  <c r="L91" i="4"/>
  <c r="K91" i="4"/>
  <c r="J91" i="4"/>
  <c r="I91" i="4"/>
  <c r="F91" i="4"/>
  <c r="E91" i="4"/>
  <c r="P89" i="4"/>
  <c r="R89" i="4" s="1"/>
  <c r="O89" i="4"/>
  <c r="Q89" i="4" s="1"/>
  <c r="S89" i="4" s="1"/>
  <c r="P87" i="4"/>
  <c r="R87" i="4" s="1"/>
  <c r="O87" i="4"/>
  <c r="Q87" i="4" s="1"/>
  <c r="S87" i="4" s="1"/>
  <c r="S86" i="4"/>
  <c r="Q86" i="4"/>
  <c r="O86" i="4"/>
  <c r="O85" i="4"/>
  <c r="N85" i="4"/>
  <c r="P85" i="4" s="1"/>
  <c r="R85" i="4" s="1"/>
  <c r="P84" i="4"/>
  <c r="R84" i="4" s="1"/>
  <c r="O84" i="4"/>
  <c r="Q84" i="4" s="1"/>
  <c r="S84" i="4" s="1"/>
  <c r="P83" i="4"/>
  <c r="R83" i="4" s="1"/>
  <c r="O83" i="4"/>
  <c r="Q83" i="4" s="1"/>
  <c r="S83" i="4" s="1"/>
  <c r="Q82" i="4"/>
  <c r="S82" i="4" s="1"/>
  <c r="P82" i="4"/>
  <c r="R82" i="4" s="1"/>
  <c r="Q81" i="4"/>
  <c r="P81" i="4"/>
  <c r="R81" i="4" s="1"/>
  <c r="Q80" i="4"/>
  <c r="S80" i="4" s="1"/>
  <c r="O80" i="4"/>
  <c r="N80" i="4"/>
  <c r="M79" i="4"/>
  <c r="L79" i="4"/>
  <c r="K79" i="4"/>
  <c r="J79" i="4"/>
  <c r="I79" i="4"/>
  <c r="O78" i="4"/>
  <c r="Q78" i="4" s="1"/>
  <c r="S78" i="4" s="1"/>
  <c r="N78" i="4"/>
  <c r="R77" i="4"/>
  <c r="O77" i="4"/>
  <c r="Q77" i="4" s="1"/>
  <c r="S77" i="4" s="1"/>
  <c r="N76" i="4"/>
  <c r="O76" i="4" s="1"/>
  <c r="Q76" i="4" s="1"/>
  <c r="L76" i="4"/>
  <c r="L75" i="4" s="1"/>
  <c r="L66" i="4" s="1"/>
  <c r="L90" i="4" s="1"/>
  <c r="M75" i="4"/>
  <c r="K75" i="4"/>
  <c r="J75" i="4"/>
  <c r="I75" i="4"/>
  <c r="O74" i="4"/>
  <c r="Q74" i="4" s="1"/>
  <c r="N74" i="4"/>
  <c r="P74" i="4" s="1"/>
  <c r="R74" i="4" s="1"/>
  <c r="S74" i="4" s="1"/>
  <c r="Q73" i="4"/>
  <c r="S73" i="4" s="1"/>
  <c r="P73" i="4"/>
  <c r="R73" i="4" s="1"/>
  <c r="O73" i="4"/>
  <c r="N73" i="4"/>
  <c r="P72" i="4"/>
  <c r="R72" i="4" s="1"/>
  <c r="O72" i="4"/>
  <c r="Q72" i="4" s="1"/>
  <c r="S72" i="4" s="1"/>
  <c r="O71" i="4"/>
  <c r="Q71" i="4" s="1"/>
  <c r="S71" i="4" s="1"/>
  <c r="N71" i="4"/>
  <c r="P71" i="4" s="1"/>
  <c r="R71" i="4" s="1"/>
  <c r="O70" i="4"/>
  <c r="Q70" i="4" s="1"/>
  <c r="S70" i="4" s="1"/>
  <c r="N70" i="4"/>
  <c r="P70" i="4" s="1"/>
  <c r="R70" i="4" s="1"/>
  <c r="P69" i="4"/>
  <c r="O69" i="4"/>
  <c r="Q69" i="4" s="1"/>
  <c r="N69" i="4"/>
  <c r="N68" i="4"/>
  <c r="N67" i="4" s="1"/>
  <c r="M68" i="4"/>
  <c r="L68" i="4"/>
  <c r="K68" i="4"/>
  <c r="J68" i="4"/>
  <c r="J67" i="4" s="1"/>
  <c r="J66" i="4" s="1"/>
  <c r="J90" i="4" s="1"/>
  <c r="I68" i="4"/>
  <c r="M67" i="4"/>
  <c r="M66" i="4" s="1"/>
  <c r="M90" i="4" s="1"/>
  <c r="L67" i="4"/>
  <c r="K67" i="4"/>
  <c r="K66" i="4" s="1"/>
  <c r="K90" i="4" s="1"/>
  <c r="I67" i="4"/>
  <c r="Q63" i="4"/>
  <c r="P63" i="4"/>
  <c r="M62" i="4"/>
  <c r="P60" i="4"/>
  <c r="R60" i="4" s="1"/>
  <c r="O60" i="4"/>
  <c r="Q60" i="4" s="1"/>
  <c r="S60" i="4" s="1"/>
  <c r="N60" i="4"/>
  <c r="N64" i="4" s="1"/>
  <c r="F59" i="4"/>
  <c r="E59" i="4"/>
  <c r="D59" i="4"/>
  <c r="P58" i="4"/>
  <c r="M57" i="4"/>
  <c r="K57" i="4"/>
  <c r="R56" i="4"/>
  <c r="O56" i="4"/>
  <c r="Q56" i="4" s="1"/>
  <c r="S56" i="4" s="1"/>
  <c r="N56" i="4"/>
  <c r="O55" i="4"/>
  <c r="N55" i="4"/>
  <c r="P55" i="4" s="1"/>
  <c r="O54" i="4"/>
  <c r="Q54" i="4" s="1"/>
  <c r="S54" i="4" s="1"/>
  <c r="N54" i="4"/>
  <c r="P54" i="4" s="1"/>
  <c r="R54" i="4" s="1"/>
  <c r="D54" i="4"/>
  <c r="O52" i="4"/>
  <c r="Q52" i="4" s="1"/>
  <c r="S52" i="4" s="1"/>
  <c r="N52" i="4"/>
  <c r="P52" i="4" s="1"/>
  <c r="R52" i="4" s="1"/>
  <c r="I52" i="4"/>
  <c r="G52" i="4"/>
  <c r="Q51" i="4"/>
  <c r="S51" i="4" s="1"/>
  <c r="P51" i="4"/>
  <c r="R51" i="4" s="1"/>
  <c r="G51" i="4"/>
  <c r="Q50" i="4"/>
  <c r="S50" i="4" s="1"/>
  <c r="P50" i="4"/>
  <c r="R50" i="4" s="1"/>
  <c r="G50" i="4"/>
  <c r="Q49" i="4"/>
  <c r="S49" i="4" s="1"/>
  <c r="P49" i="4"/>
  <c r="R49" i="4" s="1"/>
  <c r="G49" i="4"/>
  <c r="O48" i="4"/>
  <c r="Q48" i="4" s="1"/>
  <c r="S48" i="4" s="1"/>
  <c r="N48" i="4"/>
  <c r="P48" i="4" s="1"/>
  <c r="K48" i="4"/>
  <c r="K47" i="4" s="1"/>
  <c r="J48" i="4"/>
  <c r="I48" i="4"/>
  <c r="I47" i="4" s="1"/>
  <c r="H48" i="4"/>
  <c r="G48" i="4"/>
  <c r="D48" i="4"/>
  <c r="N47" i="4"/>
  <c r="M47" i="4"/>
  <c r="L47" i="4"/>
  <c r="J47" i="4"/>
  <c r="F47" i="4"/>
  <c r="E47" i="4"/>
  <c r="D47" i="4"/>
  <c r="Q46" i="4"/>
  <c r="P46" i="4" s="1"/>
  <c r="G46" i="4"/>
  <c r="Q45" i="4"/>
  <c r="P45" i="4" s="1"/>
  <c r="G45" i="4"/>
  <c r="G36" i="4" s="1"/>
  <c r="Q44" i="4"/>
  <c r="S44" i="4" s="1"/>
  <c r="R44" i="4" s="1"/>
  <c r="G44" i="4"/>
  <c r="Q43" i="4"/>
  <c r="S43" i="4" s="1"/>
  <c r="P43" i="4"/>
  <c r="R43" i="4" s="1"/>
  <c r="G43" i="4"/>
  <c r="Q42" i="4"/>
  <c r="S42" i="4" s="1"/>
  <c r="P42" i="4"/>
  <c r="R42" i="4" s="1"/>
  <c r="Q41" i="4"/>
  <c r="S41" i="4" s="1"/>
  <c r="P41" i="4"/>
  <c r="R41" i="4" s="1"/>
  <c r="G41" i="4"/>
  <c r="Q40" i="4"/>
  <c r="S40" i="4" s="1"/>
  <c r="P40" i="4"/>
  <c r="R40" i="4" s="1"/>
  <c r="S39" i="4"/>
  <c r="Q39" i="4"/>
  <c r="P39" i="4"/>
  <c r="R39" i="4" s="1"/>
  <c r="Q38" i="4"/>
  <c r="S38" i="4" s="1"/>
  <c r="P38" i="4"/>
  <c r="R38" i="4" s="1"/>
  <c r="G38" i="4"/>
  <c r="Q37" i="4"/>
  <c r="S37" i="4" s="1"/>
  <c r="P37" i="4"/>
  <c r="R37" i="4" s="1"/>
  <c r="F37" i="4"/>
  <c r="G37" i="4" s="1"/>
  <c r="E37" i="4"/>
  <c r="D37" i="4"/>
  <c r="P36" i="4"/>
  <c r="R36" i="4" s="1"/>
  <c r="O36" i="4"/>
  <c r="Q36" i="4" s="1"/>
  <c r="S36" i="4" s="1"/>
  <c r="N36" i="4"/>
  <c r="D36" i="4"/>
  <c r="Q33" i="4"/>
  <c r="S33" i="4" s="1"/>
  <c r="P33" i="4"/>
  <c r="R33" i="4" s="1"/>
  <c r="M31" i="4"/>
  <c r="N31" i="4" s="1"/>
  <c r="P31" i="4" s="1"/>
  <c r="R31" i="4" s="1"/>
  <c r="G31" i="4"/>
  <c r="M30" i="4"/>
  <c r="N30" i="4" s="1"/>
  <c r="P30" i="4" s="1"/>
  <c r="R30" i="4" s="1"/>
  <c r="O29" i="4"/>
  <c r="Q29" i="4" s="1"/>
  <c r="S29" i="4" s="1"/>
  <c r="N29" i="4"/>
  <c r="P29" i="4" s="1"/>
  <c r="R29" i="4" s="1"/>
  <c r="G29" i="4"/>
  <c r="O28" i="4"/>
  <c r="Q28" i="4" s="1"/>
  <c r="S28" i="4" s="1"/>
  <c r="N28" i="4"/>
  <c r="P28" i="4" s="1"/>
  <c r="R28" i="4" s="1"/>
  <c r="G28" i="4"/>
  <c r="M27" i="4"/>
  <c r="G27" i="4"/>
  <c r="M26" i="4"/>
  <c r="G26" i="4"/>
  <c r="D26" i="4"/>
  <c r="N24" i="4"/>
  <c r="P24" i="4" s="1"/>
  <c r="R24" i="4" s="1"/>
  <c r="M24" i="4"/>
  <c r="O24" i="4" s="1"/>
  <c r="Q24" i="4" s="1"/>
  <c r="S24" i="4" s="1"/>
  <c r="S23" i="4"/>
  <c r="R22" i="4"/>
  <c r="Q22" i="4"/>
  <c r="S22" i="4" s="1"/>
  <c r="P22" i="4"/>
  <c r="G22" i="4"/>
  <c r="O21" i="4"/>
  <c r="Q21" i="4" s="1"/>
  <c r="S21" i="4" s="1"/>
  <c r="N21" i="4"/>
  <c r="P21" i="4" s="1"/>
  <c r="R21" i="4" s="1"/>
  <c r="M21" i="4"/>
  <c r="M20" i="4"/>
  <c r="O20" i="4" s="1"/>
  <c r="Q20" i="4" s="1"/>
  <c r="S20" i="4" s="1"/>
  <c r="Q19" i="4"/>
  <c r="S19" i="4" s="1"/>
  <c r="O19" i="4"/>
  <c r="N19" i="4"/>
  <c r="P19" i="4" s="1"/>
  <c r="R19" i="4" s="1"/>
  <c r="O18" i="4"/>
  <c r="Q18" i="4" s="1"/>
  <c r="S18" i="4" s="1"/>
  <c r="N18" i="4"/>
  <c r="P18" i="4" s="1"/>
  <c r="R18" i="4" s="1"/>
  <c r="J18" i="4"/>
  <c r="M17" i="4"/>
  <c r="O17" i="4" s="1"/>
  <c r="Q17" i="4" s="1"/>
  <c r="S17" i="4" s="1"/>
  <c r="J17" i="4"/>
  <c r="G17" i="4"/>
  <c r="M16" i="4"/>
  <c r="N16" i="4" s="1"/>
  <c r="J16" i="4"/>
  <c r="G16" i="4"/>
  <c r="N15" i="4"/>
  <c r="P15" i="4" s="1"/>
  <c r="R15" i="4" s="1"/>
  <c r="M15" i="4"/>
  <c r="O15" i="4" s="1"/>
  <c r="G15" i="4"/>
  <c r="L14" i="4"/>
  <c r="K14" i="4"/>
  <c r="F14" i="4"/>
  <c r="G14" i="4" s="1"/>
  <c r="E14" i="4"/>
  <c r="D14" i="4"/>
  <c r="M13" i="4"/>
  <c r="K13" i="4"/>
  <c r="G13" i="4"/>
  <c r="J12" i="4"/>
  <c r="I12" i="4"/>
  <c r="F12" i="4"/>
  <c r="D12" i="4"/>
  <c r="P44" i="4" l="1"/>
  <c r="S45" i="4"/>
  <c r="R45" i="4" s="1"/>
  <c r="I66" i="4"/>
  <c r="I90" i="4" s="1"/>
  <c r="N75" i="4"/>
  <c r="M91" i="4"/>
  <c r="O92" i="4"/>
  <c r="N66" i="4"/>
  <c r="N90" i="4" s="1"/>
  <c r="M14" i="4"/>
  <c r="O16" i="4"/>
  <c r="Q16" i="4" s="1"/>
  <c r="S16" i="4" s="1"/>
  <c r="N17" i="4"/>
  <c r="P17" i="4" s="1"/>
  <c r="R17" i="4" s="1"/>
  <c r="N20" i="4"/>
  <c r="P20" i="4" s="1"/>
  <c r="R20" i="4" s="1"/>
  <c r="G47" i="4"/>
  <c r="O64" i="4"/>
  <c r="D93" i="4"/>
  <c r="O94" i="4"/>
  <c r="Q94" i="4" s="1"/>
  <c r="S94" i="4" s="1"/>
  <c r="S95" i="4" s="1"/>
  <c r="O96" i="4"/>
  <c r="O97" i="4" s="1"/>
  <c r="O47" i="4"/>
  <c r="S47" i="4"/>
  <c r="N57" i="4"/>
  <c r="P76" i="4"/>
  <c r="R76" i="4" s="1"/>
  <c r="P94" i="4"/>
  <c r="R94" i="4" s="1"/>
  <c r="R95" i="4" s="1"/>
  <c r="P96" i="4"/>
  <c r="M97" i="4"/>
  <c r="P16" i="4"/>
  <c r="R92" i="4"/>
  <c r="Q55" i="4"/>
  <c r="O57" i="4"/>
  <c r="Q15" i="4"/>
  <c r="O26" i="4"/>
  <c r="Q26" i="4" s="1"/>
  <c r="S26" i="4" s="1"/>
  <c r="N26" i="4"/>
  <c r="P26" i="4" s="1"/>
  <c r="R26" i="4" s="1"/>
  <c r="P64" i="4"/>
  <c r="S69" i="4"/>
  <c r="S68" i="4" s="1"/>
  <c r="S67" i="4" s="1"/>
  <c r="Q68" i="4"/>
  <c r="Q67" i="4" s="1"/>
  <c r="H93" i="4"/>
  <c r="Q95" i="4"/>
  <c r="P57" i="4"/>
  <c r="R55" i="4"/>
  <c r="R57" i="4" s="1"/>
  <c r="Q64" i="4"/>
  <c r="S63" i="4"/>
  <c r="S64" i="4" s="1"/>
  <c r="P93" i="4"/>
  <c r="O13" i="4"/>
  <c r="N13" i="4"/>
  <c r="O62" i="4"/>
  <c r="Q62" i="4" s="1"/>
  <c r="S62" i="4" s="1"/>
  <c r="N62" i="4"/>
  <c r="P62" i="4" s="1"/>
  <c r="R62" i="4" s="1"/>
  <c r="P80" i="4"/>
  <c r="N79" i="4"/>
  <c r="P95" i="4"/>
  <c r="R96" i="4"/>
  <c r="R97" i="4" s="1"/>
  <c r="P97" i="4"/>
  <c r="R69" i="4"/>
  <c r="R68" i="4" s="1"/>
  <c r="R67" i="4" s="1"/>
  <c r="P68" i="4"/>
  <c r="P67" i="4" s="1"/>
  <c r="S76" i="4"/>
  <c r="S75" i="4" s="1"/>
  <c r="Q75" i="4"/>
  <c r="Q85" i="4"/>
  <c r="S85" i="4" s="1"/>
  <c r="S79" i="4" s="1"/>
  <c r="O79" i="4"/>
  <c r="P47" i="4"/>
  <c r="R48" i="4"/>
  <c r="R47" i="4" s="1"/>
  <c r="O27" i="4"/>
  <c r="Q27" i="4" s="1"/>
  <c r="S27" i="4" s="1"/>
  <c r="N27" i="4"/>
  <c r="P27" i="4" s="1"/>
  <c r="R27" i="4" s="1"/>
  <c r="Q47" i="4"/>
  <c r="O75" i="4"/>
  <c r="N93" i="4"/>
  <c r="N91" i="4"/>
  <c r="O30" i="4"/>
  <c r="Q30" i="4" s="1"/>
  <c r="S30" i="4" s="1"/>
  <c r="O31" i="4"/>
  <c r="Q31" i="4" s="1"/>
  <c r="S31" i="4" s="1"/>
  <c r="O93" i="4"/>
  <c r="S46" i="4"/>
  <c r="R46" i="4" s="1"/>
  <c r="R63" i="4"/>
  <c r="R64" i="4" s="1"/>
  <c r="O68" i="4"/>
  <c r="O67" i="4" s="1"/>
  <c r="P78" i="4"/>
  <c r="Q79" i="4"/>
  <c r="D91" i="4"/>
  <c r="Q92" i="4"/>
  <c r="M93" i="4"/>
  <c r="M95" i="4"/>
  <c r="Q96" i="4"/>
  <c r="O14" i="4" l="1"/>
  <c r="P91" i="4"/>
  <c r="N14" i="4"/>
  <c r="O91" i="4"/>
  <c r="O95" i="4"/>
  <c r="S96" i="4"/>
  <c r="S97" i="4" s="1"/>
  <c r="Q97" i="4"/>
  <c r="P79" i="4"/>
  <c r="R80" i="4"/>
  <c r="R79" i="4" s="1"/>
  <c r="Q93" i="4"/>
  <c r="S92" i="4"/>
  <c r="Q91" i="4"/>
  <c r="O66" i="4"/>
  <c r="O90" i="4" s="1"/>
  <c r="R93" i="4"/>
  <c r="R91" i="4"/>
  <c r="P13" i="4"/>
  <c r="Q66" i="4"/>
  <c r="Q90" i="4" s="1"/>
  <c r="Q57" i="4"/>
  <c r="S55" i="4"/>
  <c r="S57" i="4" s="1"/>
  <c r="Q13" i="4"/>
  <c r="S66" i="4"/>
  <c r="S90" i="4" s="1"/>
  <c r="R16" i="4"/>
  <c r="R14" i="4" s="1"/>
  <c r="P14" i="4"/>
  <c r="R78" i="4"/>
  <c r="R75" i="4" s="1"/>
  <c r="R66" i="4" s="1"/>
  <c r="R90" i="4" s="1"/>
  <c r="P75" i="4"/>
  <c r="P66" i="4" s="1"/>
  <c r="Q14" i="4"/>
  <c r="S15" i="4"/>
  <c r="S14" i="4" s="1"/>
  <c r="P90" i="4" l="1"/>
  <c r="R13" i="4"/>
  <c r="S91" i="4"/>
  <c r="S93" i="4"/>
  <c r="S13" i="4"/>
  <c r="O97" i="3" l="1"/>
  <c r="L97" i="3"/>
  <c r="K97" i="3"/>
  <c r="J97" i="3"/>
  <c r="I97" i="3"/>
  <c r="F97" i="3"/>
  <c r="E97" i="3"/>
  <c r="D97" i="3"/>
  <c r="P97" i="3"/>
  <c r="G96" i="3"/>
  <c r="G97" i="3" s="1"/>
  <c r="O95" i="3"/>
  <c r="L95" i="3"/>
  <c r="K95" i="3"/>
  <c r="J95" i="3"/>
  <c r="I95" i="3"/>
  <c r="F95" i="3"/>
  <c r="E95" i="3"/>
  <c r="D95" i="3"/>
  <c r="Q94" i="3"/>
  <c r="Q95" i="3" s="1"/>
  <c r="P95" i="3"/>
  <c r="G94" i="3"/>
  <c r="G95" i="3" s="1"/>
  <c r="L93" i="3"/>
  <c r="K93" i="3"/>
  <c r="J93" i="3"/>
  <c r="I93" i="3"/>
  <c r="F93" i="3"/>
  <c r="Q92" i="3"/>
  <c r="Q93" i="3" s="1"/>
  <c r="G92" i="3"/>
  <c r="G93" i="3" s="1"/>
  <c r="D92" i="3"/>
  <c r="E93" i="3" s="1"/>
  <c r="O91" i="3"/>
  <c r="L91" i="3"/>
  <c r="K91" i="3"/>
  <c r="J91" i="3"/>
  <c r="I91" i="3"/>
  <c r="F91" i="3"/>
  <c r="E91" i="3"/>
  <c r="T79" i="3"/>
  <c r="Q79" i="3"/>
  <c r="P79" i="3"/>
  <c r="O79" i="3"/>
  <c r="L79" i="3"/>
  <c r="K79" i="3"/>
  <c r="J79" i="3"/>
  <c r="I79" i="3"/>
  <c r="U75" i="3"/>
  <c r="S75" i="3"/>
  <c r="R75" i="3"/>
  <c r="Q75" i="3"/>
  <c r="P75" i="3"/>
  <c r="L75" i="3"/>
  <c r="L66" i="3" s="1"/>
  <c r="K75" i="3"/>
  <c r="J75" i="3"/>
  <c r="I75" i="3"/>
  <c r="U68" i="3"/>
  <c r="U67" i="3" s="1"/>
  <c r="U66" i="3" s="1"/>
  <c r="T68" i="3"/>
  <c r="T67" i="3" s="1"/>
  <c r="T66" i="3" s="1"/>
  <c r="Q68" i="3"/>
  <c r="Q67" i="3" s="1"/>
  <c r="P68" i="3"/>
  <c r="P67" i="3" s="1"/>
  <c r="P66" i="3" s="1"/>
  <c r="O68" i="3"/>
  <c r="L68" i="3"/>
  <c r="K68" i="3"/>
  <c r="J68" i="3"/>
  <c r="I68" i="3"/>
  <c r="I67" i="3" s="1"/>
  <c r="L67" i="3"/>
  <c r="K67" i="3"/>
  <c r="J67" i="3"/>
  <c r="K66" i="3"/>
  <c r="O64" i="3"/>
  <c r="K64" i="3"/>
  <c r="Q63" i="3"/>
  <c r="S63" i="3" s="1"/>
  <c r="T64" i="3"/>
  <c r="Q62" i="3"/>
  <c r="S62" i="3" s="1"/>
  <c r="U62" i="3" s="1"/>
  <c r="R62" i="3"/>
  <c r="T62" i="3" s="1"/>
  <c r="Q61" i="3"/>
  <c r="S61" i="3" s="1"/>
  <c r="U61" i="3" s="1"/>
  <c r="R61" i="3"/>
  <c r="T61" i="3" s="1"/>
  <c r="U60" i="3"/>
  <c r="P60" i="3"/>
  <c r="R60" i="3" s="1"/>
  <c r="T60" i="3" s="1"/>
  <c r="F59" i="3"/>
  <c r="E59" i="3"/>
  <c r="D59" i="3"/>
  <c r="O57" i="3"/>
  <c r="L57" i="3"/>
  <c r="Q56" i="3"/>
  <c r="S56" i="3" s="1"/>
  <c r="U56" i="3" s="1"/>
  <c r="P56" i="3"/>
  <c r="R56" i="3" s="1"/>
  <c r="T56" i="3" s="1"/>
  <c r="S55" i="3"/>
  <c r="S57" i="3" s="1"/>
  <c r="R55" i="3"/>
  <c r="Q54" i="3"/>
  <c r="S54" i="3" s="1"/>
  <c r="U54" i="3" s="1"/>
  <c r="P54" i="3"/>
  <c r="R54" i="3" s="1"/>
  <c r="T54" i="3" s="1"/>
  <c r="D54" i="3"/>
  <c r="I52" i="3"/>
  <c r="G52" i="3"/>
  <c r="S51" i="3"/>
  <c r="U51" i="3" s="1"/>
  <c r="R51" i="3"/>
  <c r="T51" i="3" s="1"/>
  <c r="G51" i="3"/>
  <c r="S50" i="3"/>
  <c r="U50" i="3" s="1"/>
  <c r="R50" i="3"/>
  <c r="T50" i="3" s="1"/>
  <c r="G50" i="3"/>
  <c r="R49" i="3"/>
  <c r="T49" i="3" s="1"/>
  <c r="G49" i="3"/>
  <c r="L48" i="3"/>
  <c r="L47" i="3" s="1"/>
  <c r="K48" i="3"/>
  <c r="K47" i="3" s="1"/>
  <c r="J48" i="3"/>
  <c r="J47" i="3" s="1"/>
  <c r="I48" i="3"/>
  <c r="I47" i="3" s="1"/>
  <c r="H48" i="3"/>
  <c r="D48" i="3"/>
  <c r="D47" i="3" s="1"/>
  <c r="O47" i="3"/>
  <c r="F47" i="3"/>
  <c r="E47" i="3"/>
  <c r="S46" i="3"/>
  <c r="U46" i="3" s="1"/>
  <c r="T46" i="3" s="1"/>
  <c r="G46" i="3"/>
  <c r="S45" i="3"/>
  <c r="G45" i="3"/>
  <c r="U44" i="3"/>
  <c r="T44" i="3" s="1"/>
  <c r="S44" i="3"/>
  <c r="R44" i="3" s="1"/>
  <c r="G44" i="3"/>
  <c r="U43" i="3"/>
  <c r="S43" i="3"/>
  <c r="R43" i="3"/>
  <c r="T43" i="3" s="1"/>
  <c r="G43" i="3"/>
  <c r="S42" i="3"/>
  <c r="U42" i="3" s="1"/>
  <c r="R42" i="3"/>
  <c r="T42" i="3" s="1"/>
  <c r="S41" i="3"/>
  <c r="U41" i="3" s="1"/>
  <c r="R41" i="3"/>
  <c r="T41" i="3" s="1"/>
  <c r="G41" i="3"/>
  <c r="S40" i="3"/>
  <c r="U40" i="3" s="1"/>
  <c r="R40" i="3"/>
  <c r="T40" i="3" s="1"/>
  <c r="T39" i="3"/>
  <c r="S39" i="3"/>
  <c r="U39" i="3" s="1"/>
  <c r="R39" i="3"/>
  <c r="S38" i="3"/>
  <c r="U38" i="3" s="1"/>
  <c r="R38" i="3"/>
  <c r="T38" i="3" s="1"/>
  <c r="G38" i="3"/>
  <c r="T37" i="3"/>
  <c r="S37" i="3"/>
  <c r="U37" i="3" s="1"/>
  <c r="R37" i="3"/>
  <c r="F37" i="3"/>
  <c r="G37" i="3" s="1"/>
  <c r="E37" i="3"/>
  <c r="D37" i="3"/>
  <c r="R36" i="3"/>
  <c r="T36" i="3" s="1"/>
  <c r="G36" i="3"/>
  <c r="D36" i="3"/>
  <c r="G31" i="3"/>
  <c r="G29" i="3"/>
  <c r="S28" i="3"/>
  <c r="U28" i="3" s="1"/>
  <c r="Q28" i="3"/>
  <c r="P28" i="3"/>
  <c r="R28" i="3" s="1"/>
  <c r="T28" i="3" s="1"/>
  <c r="G28" i="3"/>
  <c r="Q27" i="3"/>
  <c r="S27" i="3" s="1"/>
  <c r="U27" i="3" s="1"/>
  <c r="P27" i="3"/>
  <c r="R27" i="3" s="1"/>
  <c r="T27" i="3" s="1"/>
  <c r="G27" i="3"/>
  <c r="R26" i="3"/>
  <c r="T26" i="3" s="1"/>
  <c r="Q26" i="3"/>
  <c r="S26" i="3" s="1"/>
  <c r="U26" i="3" s="1"/>
  <c r="P26" i="3"/>
  <c r="G26" i="3"/>
  <c r="D26" i="3"/>
  <c r="P24" i="3"/>
  <c r="R24" i="3" s="1"/>
  <c r="T24" i="3" s="1"/>
  <c r="G22" i="3"/>
  <c r="Q19" i="3"/>
  <c r="S19" i="3" s="1"/>
  <c r="U19" i="3" s="1"/>
  <c r="R19" i="3"/>
  <c r="Q18" i="3"/>
  <c r="S18" i="3" s="1"/>
  <c r="U18" i="3" s="1"/>
  <c r="P18" i="3"/>
  <c r="R18" i="3" s="1"/>
  <c r="T18" i="3" s="1"/>
  <c r="J18" i="3"/>
  <c r="Q17" i="3"/>
  <c r="S17" i="3" s="1"/>
  <c r="U17" i="3" s="1"/>
  <c r="P17" i="3"/>
  <c r="R17" i="3" s="1"/>
  <c r="T17" i="3" s="1"/>
  <c r="J17" i="3"/>
  <c r="G17" i="3"/>
  <c r="Q16" i="3"/>
  <c r="S16" i="3" s="1"/>
  <c r="U16" i="3" s="1"/>
  <c r="P16" i="3"/>
  <c r="R16" i="3" s="1"/>
  <c r="T16" i="3" s="1"/>
  <c r="J16" i="3"/>
  <c r="G16" i="3"/>
  <c r="R15" i="3"/>
  <c r="T15" i="3" s="1"/>
  <c r="Q15" i="3"/>
  <c r="S15" i="3" s="1"/>
  <c r="P15" i="3"/>
  <c r="G15" i="3"/>
  <c r="O14" i="3"/>
  <c r="L14" i="3"/>
  <c r="K14" i="3"/>
  <c r="F14" i="3"/>
  <c r="G14" i="3" s="1"/>
  <c r="E14" i="3"/>
  <c r="D14" i="3"/>
  <c r="D12" i="3" s="1"/>
  <c r="O13" i="3"/>
  <c r="O12" i="3" s="1"/>
  <c r="L13" i="3"/>
  <c r="K13" i="3"/>
  <c r="G13" i="3"/>
  <c r="J12" i="3"/>
  <c r="I12" i="3"/>
  <c r="F12" i="3"/>
  <c r="G48" i="3" l="1"/>
  <c r="G47" i="3" s="1"/>
  <c r="U79" i="3"/>
  <c r="S68" i="3"/>
  <c r="S67" i="3" s="1"/>
  <c r="S66" i="3" s="1"/>
  <c r="R68" i="3"/>
  <c r="R67" i="3" s="1"/>
  <c r="R66" i="3" s="1"/>
  <c r="Q66" i="3"/>
  <c r="Q90" i="3" s="1"/>
  <c r="R97" i="3"/>
  <c r="Q97" i="3"/>
  <c r="S94" i="3"/>
  <c r="U94" i="3" s="1"/>
  <c r="U95" i="3" s="1"/>
  <c r="P90" i="3"/>
  <c r="O67" i="3"/>
  <c r="P13" i="3"/>
  <c r="P12" i="3" s="1"/>
  <c r="T14" i="3"/>
  <c r="L12" i="3"/>
  <c r="Q14" i="3"/>
  <c r="D91" i="3"/>
  <c r="D93" i="3"/>
  <c r="T95" i="3"/>
  <c r="R64" i="3"/>
  <c r="I66" i="3"/>
  <c r="I90" i="3" s="1"/>
  <c r="H95" i="3"/>
  <c r="K12" i="3"/>
  <c r="P14" i="3"/>
  <c r="S79" i="3"/>
  <c r="H93" i="3"/>
  <c r="K90" i="3"/>
  <c r="J66" i="3"/>
  <c r="J90" i="3" s="1"/>
  <c r="O66" i="3"/>
  <c r="O90" i="3" s="1"/>
  <c r="L90" i="3"/>
  <c r="S14" i="3"/>
  <c r="T97" i="3"/>
  <c r="R14" i="3"/>
  <c r="U15" i="3"/>
  <c r="U14" i="3" s="1"/>
  <c r="R46" i="3"/>
  <c r="P57" i="3"/>
  <c r="T90" i="3"/>
  <c r="R79" i="3"/>
  <c r="R57" i="3"/>
  <c r="T55" i="3"/>
  <c r="T57" i="3" s="1"/>
  <c r="U90" i="3"/>
  <c r="Q91" i="3"/>
  <c r="S92" i="3"/>
  <c r="R95" i="3"/>
  <c r="R45" i="3"/>
  <c r="U45" i="3"/>
  <c r="T45" i="3" s="1"/>
  <c r="Q13" i="3"/>
  <c r="Q12" i="3" s="1"/>
  <c r="S64" i="3"/>
  <c r="U63" i="3"/>
  <c r="U64" i="3" s="1"/>
  <c r="P64" i="3"/>
  <c r="Q57" i="3"/>
  <c r="Q64" i="3"/>
  <c r="P92" i="3"/>
  <c r="O93" i="3"/>
  <c r="S95" i="3"/>
  <c r="U55" i="3"/>
  <c r="U57" i="3" s="1"/>
  <c r="T88" i="2"/>
  <c r="T85" i="2"/>
  <c r="T79" i="2" s="1"/>
  <c r="T75" i="2"/>
  <c r="T70" i="2"/>
  <c r="T68" i="2"/>
  <c r="T67" i="2" s="1"/>
  <c r="T66" i="2" s="1"/>
  <c r="S88" i="2"/>
  <c r="S79" i="2" s="1"/>
  <c r="S85" i="2"/>
  <c r="S75" i="2"/>
  <c r="S70" i="2"/>
  <c r="S68" i="2" s="1"/>
  <c r="S67" i="2" s="1"/>
  <c r="S66" i="2" s="1"/>
  <c r="R70" i="2"/>
  <c r="R68" i="2" s="1"/>
  <c r="R67" i="2" s="1"/>
  <c r="R66" i="2" s="1"/>
  <c r="R90" i="2" s="1"/>
  <c r="R75" i="2"/>
  <c r="R85" i="2"/>
  <c r="R79" i="2" s="1"/>
  <c r="R88" i="2"/>
  <c r="P79" i="2"/>
  <c r="P75" i="2"/>
  <c r="P68" i="2"/>
  <c r="P67" i="2"/>
  <c r="P66" i="2" s="1"/>
  <c r="P90" i="2" s="1"/>
  <c r="S90" i="3" l="1"/>
  <c r="R90" i="3"/>
  <c r="R12" i="3"/>
  <c r="R13" i="3"/>
  <c r="U97" i="3"/>
  <c r="S97" i="3"/>
  <c r="P93" i="3"/>
  <c r="P91" i="3"/>
  <c r="R92" i="3"/>
  <c r="U92" i="3"/>
  <c r="S93" i="3"/>
  <c r="S91" i="3"/>
  <c r="T13" i="3"/>
  <c r="T12" i="3" s="1"/>
  <c r="S13" i="3"/>
  <c r="S12" i="3" s="1"/>
  <c r="T90" i="2"/>
  <c r="S90" i="2"/>
  <c r="P96" i="2"/>
  <c r="O96" i="2"/>
  <c r="T92" i="2"/>
  <c r="S92" i="2"/>
  <c r="R92" i="2"/>
  <c r="Q92" i="2"/>
  <c r="P92" i="2"/>
  <c r="O92" i="2"/>
  <c r="Q88" i="2"/>
  <c r="Q70" i="2"/>
  <c r="R91" i="3" l="1"/>
  <c r="T92" i="3"/>
  <c r="R93" i="3"/>
  <c r="U13" i="3"/>
  <c r="U12" i="3" s="1"/>
  <c r="U91" i="3"/>
  <c r="U93" i="3"/>
  <c r="P63" i="2"/>
  <c r="R63" i="2" s="1"/>
  <c r="T63" i="2" s="1"/>
  <c r="O63" i="2"/>
  <c r="Q63" i="2" s="1"/>
  <c r="S63" i="2" s="1"/>
  <c r="S62" i="2"/>
  <c r="R62" i="2"/>
  <c r="Q62" i="2"/>
  <c r="P62" i="2"/>
  <c r="O62" i="2"/>
  <c r="S61" i="2"/>
  <c r="R61" i="2"/>
  <c r="T61" i="2" s="1"/>
  <c r="Q61" i="2"/>
  <c r="O61" i="2"/>
  <c r="P61" i="2"/>
  <c r="T56" i="2"/>
  <c r="S56" i="2"/>
  <c r="R56" i="2"/>
  <c r="Q56" i="2"/>
  <c r="T54" i="2"/>
  <c r="R54" i="2"/>
  <c r="P54" i="2"/>
  <c r="O54" i="2"/>
  <c r="T36" i="2"/>
  <c r="S36" i="2"/>
  <c r="R36" i="2"/>
  <c r="Q36" i="2"/>
  <c r="R52" i="2"/>
  <c r="T52" i="2" s="1"/>
  <c r="Q52" i="2"/>
  <c r="S52" i="2" s="1"/>
  <c r="T48" i="2"/>
  <c r="S48" i="2"/>
  <c r="R48" i="2"/>
  <c r="Q48" i="2"/>
  <c r="R28" i="2"/>
  <c r="T28" i="2" s="1"/>
  <c r="P28" i="2"/>
  <c r="O28" i="2"/>
  <c r="Q28" i="2" s="1"/>
  <c r="S28" i="2" s="1"/>
  <c r="R27" i="2"/>
  <c r="T27" i="2" s="1"/>
  <c r="P27" i="2"/>
  <c r="O27" i="2"/>
  <c r="Q27" i="2" s="1"/>
  <c r="S27" i="2" s="1"/>
  <c r="T24" i="2"/>
  <c r="S24" i="2"/>
  <c r="R24" i="2"/>
  <c r="Q24" i="2"/>
  <c r="P24" i="2"/>
  <c r="O24" i="2"/>
  <c r="T13" i="2"/>
  <c r="S13" i="2"/>
  <c r="R13" i="2"/>
  <c r="Q13" i="2"/>
  <c r="P13" i="2"/>
  <c r="O13" i="2"/>
  <c r="T93" i="3" l="1"/>
  <c r="T91" i="3"/>
  <c r="N13" i="2"/>
  <c r="M47" i="2"/>
  <c r="M14" i="2"/>
  <c r="N74" i="2"/>
  <c r="N97" i="2" l="1"/>
  <c r="N95" i="2"/>
  <c r="M91" i="2"/>
  <c r="N93" i="2"/>
  <c r="N92" i="2"/>
  <c r="M97" i="2"/>
  <c r="M95" i="2"/>
  <c r="M93" i="2"/>
  <c r="M76" i="2"/>
  <c r="M79" i="2" l="1"/>
  <c r="M75" i="2"/>
  <c r="M68" i="2"/>
  <c r="M67" i="2" s="1"/>
  <c r="M66" i="2" s="1"/>
  <c r="M90" i="2" l="1"/>
  <c r="L97" i="2"/>
  <c r="K97" i="2"/>
  <c r="J97" i="2"/>
  <c r="I97" i="2"/>
  <c r="G97" i="2"/>
  <c r="F97" i="2"/>
  <c r="E97" i="2"/>
  <c r="D97" i="2"/>
  <c r="G96" i="2"/>
  <c r="L95" i="2"/>
  <c r="K95" i="2"/>
  <c r="J95" i="2"/>
  <c r="I95" i="2"/>
  <c r="G95" i="2"/>
  <c r="F95" i="2"/>
  <c r="E95" i="2"/>
  <c r="D95" i="2"/>
  <c r="P94" i="2"/>
  <c r="R94" i="2" s="1"/>
  <c r="R95" i="2" s="1"/>
  <c r="O94" i="2"/>
  <c r="G94" i="2"/>
  <c r="H95" i="2" s="1"/>
  <c r="L93" i="2"/>
  <c r="K93" i="2"/>
  <c r="J93" i="2"/>
  <c r="I93" i="2"/>
  <c r="G93" i="2"/>
  <c r="F93" i="2"/>
  <c r="E93" i="2"/>
  <c r="O93" i="2"/>
  <c r="G92" i="2"/>
  <c r="H93" i="2" s="1"/>
  <c r="D92" i="2"/>
  <c r="D93" i="2" s="1"/>
  <c r="N91" i="2"/>
  <c r="L91" i="2"/>
  <c r="K91" i="2"/>
  <c r="J91" i="2"/>
  <c r="I91" i="2"/>
  <c r="F91" i="2"/>
  <c r="E91" i="2"/>
  <c r="D91" i="2"/>
  <c r="Q85" i="2"/>
  <c r="O79" i="2"/>
  <c r="N79" i="2"/>
  <c r="L79" i="2"/>
  <c r="K79" i="2"/>
  <c r="J79" i="2"/>
  <c r="I79" i="2"/>
  <c r="N75" i="2"/>
  <c r="L75" i="2"/>
  <c r="K75" i="2"/>
  <c r="J75" i="2"/>
  <c r="I75" i="2"/>
  <c r="N68" i="2"/>
  <c r="N67" i="2" s="1"/>
  <c r="L68" i="2"/>
  <c r="K68" i="2"/>
  <c r="K67" i="2" s="1"/>
  <c r="K66" i="2" s="1"/>
  <c r="K90" i="2" s="1"/>
  <c r="J68" i="2"/>
  <c r="I68" i="2"/>
  <c r="I67" i="2" s="1"/>
  <c r="L67" i="2"/>
  <c r="L66" i="2" s="1"/>
  <c r="L90" i="2" s="1"/>
  <c r="J67" i="2"/>
  <c r="J66" i="2" s="1"/>
  <c r="I66" i="2"/>
  <c r="I90" i="2" s="1"/>
  <c r="N64" i="2"/>
  <c r="K64" i="2"/>
  <c r="T62" i="2"/>
  <c r="P60" i="2"/>
  <c r="P64" i="2" s="1"/>
  <c r="O60" i="2"/>
  <c r="F59" i="2"/>
  <c r="E59" i="2"/>
  <c r="D59" i="2"/>
  <c r="Q58" i="2"/>
  <c r="N57" i="2"/>
  <c r="L57" i="2"/>
  <c r="P56" i="2"/>
  <c r="O56" i="2"/>
  <c r="R55" i="2"/>
  <c r="T55" i="2" s="1"/>
  <c r="P55" i="2"/>
  <c r="O55" i="2"/>
  <c r="Q54" i="2"/>
  <c r="S54" i="2" s="1"/>
  <c r="D54" i="2"/>
  <c r="I52" i="2"/>
  <c r="G52" i="2"/>
  <c r="T51" i="2"/>
  <c r="S51" i="2"/>
  <c r="R51" i="2"/>
  <c r="Q51" i="2"/>
  <c r="G51" i="2"/>
  <c r="T50" i="2"/>
  <c r="R50" i="2"/>
  <c r="Q50" i="2"/>
  <c r="S50" i="2" s="1"/>
  <c r="G50" i="2"/>
  <c r="R49" i="2"/>
  <c r="T49" i="2" s="1"/>
  <c r="Q49" i="2"/>
  <c r="S49" i="2" s="1"/>
  <c r="G49" i="2"/>
  <c r="L48" i="2"/>
  <c r="K48" i="2"/>
  <c r="J48" i="2"/>
  <c r="J47" i="2" s="1"/>
  <c r="I48" i="2"/>
  <c r="I47" i="2" s="1"/>
  <c r="H48" i="2"/>
  <c r="D48" i="2"/>
  <c r="D47" i="2" s="1"/>
  <c r="L47" i="2"/>
  <c r="K47" i="2"/>
  <c r="F47" i="2"/>
  <c r="E47" i="2"/>
  <c r="T46" i="2"/>
  <c r="S46" i="2" s="1"/>
  <c r="R46" i="2"/>
  <c r="Q46" i="2" s="1"/>
  <c r="G46" i="2"/>
  <c r="T45" i="2"/>
  <c r="S45" i="2" s="1"/>
  <c r="R45" i="2"/>
  <c r="Q45" i="2"/>
  <c r="G45" i="2"/>
  <c r="R44" i="2"/>
  <c r="G44" i="2"/>
  <c r="S43" i="2"/>
  <c r="R43" i="2"/>
  <c r="T43" i="2" s="1"/>
  <c r="Q43" i="2"/>
  <c r="G43" i="2"/>
  <c r="T42" i="2"/>
  <c r="S42" i="2"/>
  <c r="R42" i="2"/>
  <c r="Q42" i="2"/>
  <c r="T41" i="2"/>
  <c r="S41" i="2"/>
  <c r="R41" i="2"/>
  <c r="Q41" i="2"/>
  <c r="G41" i="2"/>
  <c r="T40" i="2"/>
  <c r="R40" i="2"/>
  <c r="Q40" i="2"/>
  <c r="S40" i="2" s="1"/>
  <c r="T39" i="2"/>
  <c r="R39" i="2"/>
  <c r="Q39" i="2"/>
  <c r="S39" i="2" s="1"/>
  <c r="T38" i="2"/>
  <c r="R38" i="2"/>
  <c r="Q38" i="2"/>
  <c r="S38" i="2" s="1"/>
  <c r="G38" i="2"/>
  <c r="R37" i="2"/>
  <c r="T37" i="2" s="1"/>
  <c r="Q37" i="2"/>
  <c r="S37" i="2" s="1"/>
  <c r="G37" i="2"/>
  <c r="F37" i="2"/>
  <c r="E37" i="2"/>
  <c r="D37" i="2"/>
  <c r="G36" i="2"/>
  <c r="D36" i="2"/>
  <c r="R33" i="2"/>
  <c r="T33" i="2" s="1"/>
  <c r="Q33" i="2"/>
  <c r="S33" i="2" s="1"/>
  <c r="Q32" i="2"/>
  <c r="S32" i="2" s="1"/>
  <c r="P32" i="2"/>
  <c r="R32" i="2" s="1"/>
  <c r="T32" i="2" s="1"/>
  <c r="O32" i="2"/>
  <c r="G32" i="2"/>
  <c r="Q31" i="2"/>
  <c r="S31" i="2" s="1"/>
  <c r="P31" i="2"/>
  <c r="R31" i="2" s="1"/>
  <c r="T31" i="2" s="1"/>
  <c r="O31" i="2"/>
  <c r="P30" i="2"/>
  <c r="R30" i="2" s="1"/>
  <c r="T30" i="2" s="1"/>
  <c r="O30" i="2"/>
  <c r="Q30" i="2" s="1"/>
  <c r="S30" i="2" s="1"/>
  <c r="G30" i="2"/>
  <c r="P29" i="2"/>
  <c r="R29" i="2" s="1"/>
  <c r="T29" i="2" s="1"/>
  <c r="O29" i="2"/>
  <c r="Q29" i="2" s="1"/>
  <c r="S29" i="2" s="1"/>
  <c r="G29" i="2"/>
  <c r="G28" i="2"/>
  <c r="G27" i="2"/>
  <c r="D27" i="2"/>
  <c r="T25" i="2"/>
  <c r="S25" i="2"/>
  <c r="R25" i="2"/>
  <c r="Q25" i="2"/>
  <c r="T23" i="2"/>
  <c r="T22" i="2"/>
  <c r="S22" i="2"/>
  <c r="R22" i="2"/>
  <c r="Q22" i="2"/>
  <c r="G22" i="2"/>
  <c r="Q21" i="2"/>
  <c r="S21" i="2" s="1"/>
  <c r="P21" i="2"/>
  <c r="R21" i="2" s="1"/>
  <c r="T21" i="2" s="1"/>
  <c r="O21" i="2"/>
  <c r="T20" i="2"/>
  <c r="P20" i="2"/>
  <c r="R20" i="2" s="1"/>
  <c r="O20" i="2"/>
  <c r="Q20" i="2" s="1"/>
  <c r="S20" i="2" s="1"/>
  <c r="S19" i="2"/>
  <c r="O19" i="2"/>
  <c r="Q19" i="2" s="1"/>
  <c r="P19" i="2"/>
  <c r="R19" i="2" s="1"/>
  <c r="T19" i="2" s="1"/>
  <c r="P18" i="2"/>
  <c r="R18" i="2" s="1"/>
  <c r="T18" i="2" s="1"/>
  <c r="O18" i="2"/>
  <c r="Q18" i="2" s="1"/>
  <c r="S18" i="2" s="1"/>
  <c r="J18" i="2"/>
  <c r="J12" i="2" s="1"/>
  <c r="Q17" i="2"/>
  <c r="S17" i="2" s="1"/>
  <c r="P17" i="2"/>
  <c r="R17" i="2" s="1"/>
  <c r="T17" i="2" s="1"/>
  <c r="O17" i="2"/>
  <c r="J17" i="2"/>
  <c r="G17" i="2"/>
  <c r="P16" i="2"/>
  <c r="R16" i="2" s="1"/>
  <c r="T16" i="2" s="1"/>
  <c r="O16" i="2"/>
  <c r="Q16" i="2" s="1"/>
  <c r="S16" i="2" s="1"/>
  <c r="J16" i="2"/>
  <c r="G16" i="2"/>
  <c r="P15" i="2"/>
  <c r="R15" i="2" s="1"/>
  <c r="T15" i="2" s="1"/>
  <c r="O15" i="2"/>
  <c r="Q15" i="2" s="1"/>
  <c r="S15" i="2" s="1"/>
  <c r="G15" i="2"/>
  <c r="N14" i="2"/>
  <c r="L14" i="2"/>
  <c r="K14" i="2"/>
  <c r="F14" i="2"/>
  <c r="G14" i="2" s="1"/>
  <c r="E14" i="2"/>
  <c r="D14" i="2"/>
  <c r="D12" i="2" s="1"/>
  <c r="L13" i="2"/>
  <c r="L12" i="2" s="1"/>
  <c r="K13" i="2"/>
  <c r="G13" i="2"/>
  <c r="I12" i="2"/>
  <c r="F12" i="2"/>
  <c r="T57" i="2" l="1"/>
  <c r="P57" i="2"/>
  <c r="S14" i="2"/>
  <c r="T14" i="2"/>
  <c r="O14" i="2"/>
  <c r="N66" i="2"/>
  <c r="N90" i="2" s="1"/>
  <c r="P91" i="2"/>
  <c r="T94" i="2"/>
  <c r="T95" i="2" s="1"/>
  <c r="R60" i="2"/>
  <c r="T60" i="2" s="1"/>
  <c r="T64" i="2" s="1"/>
  <c r="R64" i="2"/>
  <c r="P14" i="2"/>
  <c r="R57" i="2"/>
  <c r="Q79" i="2"/>
  <c r="O95" i="2"/>
  <c r="O91" i="2"/>
  <c r="Q94" i="2"/>
  <c r="K12" i="2"/>
  <c r="R14" i="2"/>
  <c r="G48" i="2"/>
  <c r="G47" i="2" s="1"/>
  <c r="P93" i="2"/>
  <c r="Q44" i="2"/>
  <c r="T44" i="2"/>
  <c r="S44" i="2" s="1"/>
  <c r="P47" i="2"/>
  <c r="Q55" i="2"/>
  <c r="O57" i="2"/>
  <c r="O64" i="2"/>
  <c r="Q60" i="2"/>
  <c r="T93" i="2"/>
  <c r="O97" i="2"/>
  <c r="Q96" i="2"/>
  <c r="Q14" i="2"/>
  <c r="O47" i="2"/>
  <c r="J90" i="2"/>
  <c r="O68" i="2"/>
  <c r="O67" i="2" s="1"/>
  <c r="R93" i="2"/>
  <c r="R91" i="2"/>
  <c r="P95" i="2"/>
  <c r="P97" i="2"/>
  <c r="R96" i="2"/>
  <c r="N47" i="2"/>
  <c r="O75" i="2"/>
  <c r="O97" i="1"/>
  <c r="M97" i="1"/>
  <c r="L97" i="1"/>
  <c r="K97" i="1"/>
  <c r="J97" i="1"/>
  <c r="I97" i="1"/>
  <c r="F97" i="1"/>
  <c r="E97" i="1"/>
  <c r="D97" i="1"/>
  <c r="S96" i="1"/>
  <c r="S97" i="1" s="1"/>
  <c r="P96" i="1"/>
  <c r="P97" i="1" s="1"/>
  <c r="O96" i="1"/>
  <c r="Q96" i="1" s="1"/>
  <c r="Q97" i="1" s="1"/>
  <c r="N96" i="1"/>
  <c r="N97" i="1" s="1"/>
  <c r="M96" i="1"/>
  <c r="G96" i="1"/>
  <c r="G97" i="1" s="1"/>
  <c r="O95" i="1"/>
  <c r="L95" i="1"/>
  <c r="K95" i="1"/>
  <c r="J95" i="1"/>
  <c r="I95" i="1"/>
  <c r="H95" i="1"/>
  <c r="F95" i="1"/>
  <c r="E95" i="1"/>
  <c r="D95" i="1"/>
  <c r="O94" i="1"/>
  <c r="Q94" i="1" s="1"/>
  <c r="Q95" i="1" s="1"/>
  <c r="N94" i="1"/>
  <c r="N95" i="1" s="1"/>
  <c r="M94" i="1"/>
  <c r="M95" i="1" s="1"/>
  <c r="G94" i="1"/>
  <c r="G95" i="1" s="1"/>
  <c r="M93" i="1"/>
  <c r="L93" i="1"/>
  <c r="K93" i="1"/>
  <c r="J93" i="1"/>
  <c r="I93" i="1"/>
  <c r="H93" i="1"/>
  <c r="G93" i="1"/>
  <c r="F93" i="1"/>
  <c r="S92" i="1"/>
  <c r="S93" i="1" s="1"/>
  <c r="O92" i="1"/>
  <c r="Q92" i="1" s="1"/>
  <c r="N92" i="1"/>
  <c r="N93" i="1" s="1"/>
  <c r="G92" i="1"/>
  <c r="D92" i="1"/>
  <c r="E93" i="1" s="1"/>
  <c r="O91" i="1"/>
  <c r="M91" i="1"/>
  <c r="L91" i="1"/>
  <c r="K91" i="1"/>
  <c r="J91" i="1"/>
  <c r="I91" i="1"/>
  <c r="F91" i="1"/>
  <c r="E91" i="1"/>
  <c r="S89" i="1"/>
  <c r="Q89" i="1"/>
  <c r="P89" i="1"/>
  <c r="R89" i="1" s="1"/>
  <c r="O89" i="1"/>
  <c r="R87" i="1"/>
  <c r="Q87" i="1"/>
  <c r="S87" i="1" s="1"/>
  <c r="P87" i="1"/>
  <c r="O87" i="1"/>
  <c r="S86" i="1"/>
  <c r="Q86" i="1"/>
  <c r="O86" i="1"/>
  <c r="Q85" i="1"/>
  <c r="S85" i="1" s="1"/>
  <c r="P85" i="1"/>
  <c r="R85" i="1" s="1"/>
  <c r="O85" i="1"/>
  <c r="N85" i="1"/>
  <c r="S84" i="1"/>
  <c r="P84" i="1"/>
  <c r="R84" i="1" s="1"/>
  <c r="O84" i="1"/>
  <c r="Q84" i="1" s="1"/>
  <c r="S83" i="1"/>
  <c r="Q83" i="1"/>
  <c r="P83" i="1"/>
  <c r="R83" i="1" s="1"/>
  <c r="O83" i="1"/>
  <c r="R82" i="1"/>
  <c r="Q82" i="1"/>
  <c r="S82" i="1" s="1"/>
  <c r="P82" i="1"/>
  <c r="Q81" i="1"/>
  <c r="P81" i="1"/>
  <c r="R81" i="1" s="1"/>
  <c r="P80" i="1"/>
  <c r="O80" i="1"/>
  <c r="Q80" i="1" s="1"/>
  <c r="N80" i="1"/>
  <c r="N79" i="1"/>
  <c r="M79" i="1"/>
  <c r="L79" i="1"/>
  <c r="K79" i="1"/>
  <c r="J79" i="1"/>
  <c r="I79" i="1"/>
  <c r="R78" i="1"/>
  <c r="P78" i="1"/>
  <c r="N78" i="1"/>
  <c r="O78" i="1" s="1"/>
  <c r="Q78" i="1" s="1"/>
  <c r="S78" i="1" s="1"/>
  <c r="S77" i="1"/>
  <c r="R77" i="1"/>
  <c r="O77" i="1"/>
  <c r="Q77" i="1" s="1"/>
  <c r="R76" i="1"/>
  <c r="P76" i="1"/>
  <c r="O76" i="1"/>
  <c r="N76" i="1"/>
  <c r="R75" i="1"/>
  <c r="P75" i="1"/>
  <c r="N75" i="1"/>
  <c r="M75" i="1"/>
  <c r="M66" i="1" s="1"/>
  <c r="M90" i="1" s="1"/>
  <c r="L75" i="1"/>
  <c r="K75" i="1"/>
  <c r="J75" i="1"/>
  <c r="I75" i="1"/>
  <c r="S74" i="1"/>
  <c r="P74" i="1"/>
  <c r="R74" i="1" s="1"/>
  <c r="O74" i="1"/>
  <c r="Q74" i="1" s="1"/>
  <c r="N74" i="1"/>
  <c r="Q73" i="1"/>
  <c r="S73" i="1" s="1"/>
  <c r="O73" i="1"/>
  <c r="N73" i="1"/>
  <c r="P73" i="1" s="1"/>
  <c r="R73" i="1" s="1"/>
  <c r="Q72" i="1"/>
  <c r="S72" i="1" s="1"/>
  <c r="P72" i="1"/>
  <c r="R72" i="1" s="1"/>
  <c r="O72" i="1"/>
  <c r="O68" i="1" s="1"/>
  <c r="O67" i="1" s="1"/>
  <c r="Q71" i="1"/>
  <c r="S71" i="1" s="1"/>
  <c r="P71" i="1"/>
  <c r="R71" i="1" s="1"/>
  <c r="O71" i="1"/>
  <c r="N71" i="1"/>
  <c r="S70" i="1"/>
  <c r="O70" i="1"/>
  <c r="Q70" i="1" s="1"/>
  <c r="N70" i="1"/>
  <c r="P70" i="1" s="1"/>
  <c r="R69" i="1"/>
  <c r="Q69" i="1"/>
  <c r="P69" i="1"/>
  <c r="O69" i="1"/>
  <c r="N69" i="1"/>
  <c r="M68" i="1"/>
  <c r="L68" i="1"/>
  <c r="L67" i="1" s="1"/>
  <c r="L66" i="1" s="1"/>
  <c r="L90" i="1" s="1"/>
  <c r="K68" i="1"/>
  <c r="J68" i="1"/>
  <c r="J67" i="1" s="1"/>
  <c r="J66" i="1" s="1"/>
  <c r="J90" i="1" s="1"/>
  <c r="I68" i="1"/>
  <c r="M67" i="1"/>
  <c r="K67" i="1"/>
  <c r="K66" i="1" s="1"/>
  <c r="K90" i="1" s="1"/>
  <c r="I67" i="1"/>
  <c r="I66" i="1" s="1"/>
  <c r="I90" i="1" s="1"/>
  <c r="O64" i="1"/>
  <c r="M64" i="1"/>
  <c r="K64" i="1"/>
  <c r="Q63" i="1"/>
  <c r="Q64" i="1" s="1"/>
  <c r="P63" i="1"/>
  <c r="R63" i="1" s="1"/>
  <c r="P62" i="1"/>
  <c r="R62" i="1" s="1"/>
  <c r="O62" i="1"/>
  <c r="Q62" i="1" s="1"/>
  <c r="S62" i="1" s="1"/>
  <c r="N62" i="1"/>
  <c r="O60" i="1"/>
  <c r="Q60" i="1" s="1"/>
  <c r="S60" i="1" s="1"/>
  <c r="N60" i="1"/>
  <c r="F59" i="1"/>
  <c r="E59" i="1"/>
  <c r="D59" i="1"/>
  <c r="P58" i="1"/>
  <c r="M58" i="1"/>
  <c r="N57" i="1"/>
  <c r="M57" i="1"/>
  <c r="L57" i="1"/>
  <c r="R56" i="1"/>
  <c r="Q56" i="1"/>
  <c r="S56" i="1" s="1"/>
  <c r="O56" i="1"/>
  <c r="N56" i="1"/>
  <c r="R55" i="1"/>
  <c r="R57" i="1" s="1"/>
  <c r="O55" i="1"/>
  <c r="O57" i="1" s="1"/>
  <c r="N55" i="1"/>
  <c r="P55" i="1" s="1"/>
  <c r="P57" i="1" s="1"/>
  <c r="S54" i="1"/>
  <c r="Q54" i="1"/>
  <c r="P54" i="1"/>
  <c r="R54" i="1" s="1"/>
  <c r="O54" i="1"/>
  <c r="N54" i="1"/>
  <c r="D54" i="1"/>
  <c r="S52" i="1"/>
  <c r="P52" i="1"/>
  <c r="R52" i="1" s="1"/>
  <c r="O52" i="1"/>
  <c r="Q52" i="1" s="1"/>
  <c r="N52" i="1"/>
  <c r="I52" i="1"/>
  <c r="G52" i="1"/>
  <c r="S51" i="1"/>
  <c r="Q51" i="1"/>
  <c r="P51" i="1"/>
  <c r="R51" i="1" s="1"/>
  <c r="G51" i="1"/>
  <c r="S50" i="1"/>
  <c r="Q50" i="1"/>
  <c r="P50" i="1"/>
  <c r="R50" i="1" s="1"/>
  <c r="G50" i="1"/>
  <c r="Q49" i="1"/>
  <c r="S49" i="1" s="1"/>
  <c r="P49" i="1"/>
  <c r="R49" i="1" s="1"/>
  <c r="G49" i="1"/>
  <c r="Q48" i="1"/>
  <c r="S48" i="1" s="1"/>
  <c r="S47" i="1" s="1"/>
  <c r="O48" i="1"/>
  <c r="N48" i="1"/>
  <c r="M48" i="1"/>
  <c r="L48" i="1"/>
  <c r="K48" i="1"/>
  <c r="J48" i="1"/>
  <c r="J47" i="1" s="1"/>
  <c r="I48" i="1"/>
  <c r="H48" i="1"/>
  <c r="G48" i="1"/>
  <c r="G47" i="1" s="1"/>
  <c r="D48" i="1"/>
  <c r="Q47" i="1"/>
  <c r="O47" i="1"/>
  <c r="M47" i="1"/>
  <c r="L47" i="1"/>
  <c r="K47" i="1"/>
  <c r="I47" i="1"/>
  <c r="F47" i="1"/>
  <c r="E47" i="1"/>
  <c r="D47" i="1"/>
  <c r="S46" i="1"/>
  <c r="R46" i="1"/>
  <c r="Q46" i="1"/>
  <c r="P46" i="1"/>
  <c r="G46" i="1"/>
  <c r="S45" i="1"/>
  <c r="R45" i="1" s="1"/>
  <c r="Q45" i="1"/>
  <c r="P45" i="1"/>
  <c r="G45" i="1"/>
  <c r="R44" i="1"/>
  <c r="Q44" i="1"/>
  <c r="S44" i="1" s="1"/>
  <c r="P44" i="1"/>
  <c r="G44" i="1"/>
  <c r="S43" i="1"/>
  <c r="R43" i="1"/>
  <c r="Q43" i="1"/>
  <c r="P43" i="1"/>
  <c r="G43" i="1"/>
  <c r="G36" i="1" s="1"/>
  <c r="S42" i="1"/>
  <c r="Q42" i="1"/>
  <c r="P42" i="1"/>
  <c r="R42" i="1" s="1"/>
  <c r="S41" i="1"/>
  <c r="Q41" i="1"/>
  <c r="P41" i="1"/>
  <c r="R41" i="1" s="1"/>
  <c r="G41" i="1"/>
  <c r="S40" i="1"/>
  <c r="Q40" i="1"/>
  <c r="P40" i="1"/>
  <c r="R40" i="1" s="1"/>
  <c r="Q39" i="1"/>
  <c r="S39" i="1" s="1"/>
  <c r="P39" i="1"/>
  <c r="R39" i="1" s="1"/>
  <c r="S38" i="1"/>
  <c r="Q38" i="1"/>
  <c r="P38" i="1"/>
  <c r="R38" i="1" s="1"/>
  <c r="G38" i="1"/>
  <c r="R37" i="1"/>
  <c r="Q37" i="1"/>
  <c r="S37" i="1" s="1"/>
  <c r="P37" i="1"/>
  <c r="F37" i="1"/>
  <c r="G37" i="1" s="1"/>
  <c r="E37" i="1"/>
  <c r="D37" i="1"/>
  <c r="Q36" i="1"/>
  <c r="S36" i="1" s="1"/>
  <c r="P36" i="1"/>
  <c r="R36" i="1" s="1"/>
  <c r="O36" i="1"/>
  <c r="N36" i="1"/>
  <c r="D36" i="1"/>
  <c r="R33" i="1"/>
  <c r="Q33" i="1"/>
  <c r="S33" i="1" s="1"/>
  <c r="P33" i="1"/>
  <c r="Q32" i="1"/>
  <c r="S32" i="1" s="1"/>
  <c r="O32" i="1"/>
  <c r="N32" i="1"/>
  <c r="P32" i="1" s="1"/>
  <c r="R32" i="1" s="1"/>
  <c r="G32" i="1"/>
  <c r="P31" i="1"/>
  <c r="R31" i="1" s="1"/>
  <c r="O31" i="1"/>
  <c r="Q31" i="1" s="1"/>
  <c r="S31" i="1" s="1"/>
  <c r="N31" i="1"/>
  <c r="R30" i="1"/>
  <c r="O30" i="1"/>
  <c r="Q30" i="1" s="1"/>
  <c r="S30" i="1" s="1"/>
  <c r="N30" i="1"/>
  <c r="P30" i="1" s="1"/>
  <c r="G30" i="1"/>
  <c r="Q29" i="1"/>
  <c r="S29" i="1" s="1"/>
  <c r="O29" i="1"/>
  <c r="N29" i="1"/>
  <c r="P29" i="1" s="1"/>
  <c r="R29" i="1" s="1"/>
  <c r="G29" i="1"/>
  <c r="Q28" i="1"/>
  <c r="S28" i="1" s="1"/>
  <c r="P28" i="1"/>
  <c r="R28" i="1" s="1"/>
  <c r="O28" i="1"/>
  <c r="N28" i="1"/>
  <c r="G28" i="1"/>
  <c r="O27" i="1"/>
  <c r="Q27" i="1" s="1"/>
  <c r="S27" i="1" s="1"/>
  <c r="N27" i="1"/>
  <c r="P27" i="1" s="1"/>
  <c r="R27" i="1" s="1"/>
  <c r="G27" i="1"/>
  <c r="D27" i="1"/>
  <c r="S25" i="1"/>
  <c r="R25" i="1"/>
  <c r="Q25" i="1"/>
  <c r="P25" i="1"/>
  <c r="S24" i="1"/>
  <c r="O24" i="1"/>
  <c r="Q24" i="1" s="1"/>
  <c r="N24" i="1"/>
  <c r="P24" i="1" s="1"/>
  <c r="R24" i="1" s="1"/>
  <c r="M24" i="1"/>
  <c r="S23" i="1"/>
  <c r="S22" i="1"/>
  <c r="R22" i="1"/>
  <c r="Q22" i="1"/>
  <c r="P22" i="1"/>
  <c r="G22" i="1"/>
  <c r="M21" i="1"/>
  <c r="N21" i="1" s="1"/>
  <c r="P21" i="1" s="1"/>
  <c r="R21" i="1" s="1"/>
  <c r="O20" i="1"/>
  <c r="Q20" i="1" s="1"/>
  <c r="S20" i="1" s="1"/>
  <c r="N20" i="1"/>
  <c r="P20" i="1" s="1"/>
  <c r="R20" i="1" s="1"/>
  <c r="M20" i="1"/>
  <c r="M19" i="1"/>
  <c r="O19" i="1" s="1"/>
  <c r="Q19" i="1" s="1"/>
  <c r="S19" i="1" s="1"/>
  <c r="Q18" i="1"/>
  <c r="S18" i="1" s="1"/>
  <c r="O18" i="1"/>
  <c r="N18" i="1"/>
  <c r="P18" i="1" s="1"/>
  <c r="R18" i="1" s="1"/>
  <c r="J18" i="1"/>
  <c r="J12" i="1" s="1"/>
  <c r="Q17" i="1"/>
  <c r="S17" i="1" s="1"/>
  <c r="P17" i="1"/>
  <c r="R17" i="1" s="1"/>
  <c r="O17" i="1"/>
  <c r="N17" i="1"/>
  <c r="J17" i="1"/>
  <c r="G17" i="1"/>
  <c r="P16" i="1"/>
  <c r="R16" i="1" s="1"/>
  <c r="O16" i="1"/>
  <c r="Q16" i="1" s="1"/>
  <c r="S16" i="1" s="1"/>
  <c r="N16" i="1"/>
  <c r="J16" i="1"/>
  <c r="G16" i="1"/>
  <c r="P15" i="1"/>
  <c r="R15" i="1" s="1"/>
  <c r="O15" i="1"/>
  <c r="Q15" i="1" s="1"/>
  <c r="N15" i="1"/>
  <c r="G15" i="1"/>
  <c r="R14" i="1"/>
  <c r="N14" i="1"/>
  <c r="M14" i="1"/>
  <c r="L14" i="1"/>
  <c r="K14" i="1"/>
  <c r="G14" i="1"/>
  <c r="F14" i="1"/>
  <c r="E14" i="1"/>
  <c r="D14" i="1"/>
  <c r="L13" i="1"/>
  <c r="L12" i="1" s="1"/>
  <c r="K13" i="1"/>
  <c r="M13" i="1" s="1"/>
  <c r="G13" i="1"/>
  <c r="K12" i="1"/>
  <c r="I12" i="1"/>
  <c r="F12" i="1"/>
  <c r="D12" i="1"/>
  <c r="Q75" i="2" l="1"/>
  <c r="R97" i="2"/>
  <c r="T96" i="2"/>
  <c r="O66" i="2"/>
  <c r="O90" i="2" s="1"/>
  <c r="Q47" i="2"/>
  <c r="S47" i="2"/>
  <c r="Q57" i="2"/>
  <c r="S55" i="2"/>
  <c r="S57" i="2" s="1"/>
  <c r="Q64" i="2"/>
  <c r="S60" i="2"/>
  <c r="S64" i="2" s="1"/>
  <c r="Q93" i="2"/>
  <c r="Q91" i="2"/>
  <c r="S94" i="2"/>
  <c r="S95" i="2" s="1"/>
  <c r="Q95" i="2"/>
  <c r="Q68" i="2"/>
  <c r="Q67" i="2" s="1"/>
  <c r="S96" i="2"/>
  <c r="S97" i="2" s="1"/>
  <c r="Q97" i="2"/>
  <c r="T47" i="2"/>
  <c r="R47" i="2"/>
  <c r="N12" i="2"/>
  <c r="Q14" i="1"/>
  <c r="S15" i="1"/>
  <c r="S14" i="1" s="1"/>
  <c r="P68" i="1"/>
  <c r="P67" i="1" s="1"/>
  <c r="P66" i="1" s="1"/>
  <c r="P90" i="1" s="1"/>
  <c r="R70" i="1"/>
  <c r="R68" i="1" s="1"/>
  <c r="R67" i="1" s="1"/>
  <c r="R66" i="1" s="1"/>
  <c r="R90" i="1" s="1"/>
  <c r="N13" i="1"/>
  <c r="M12" i="1"/>
  <c r="O13" i="1"/>
  <c r="Q79" i="1"/>
  <c r="S80" i="1"/>
  <c r="S79" i="1" s="1"/>
  <c r="O14" i="1"/>
  <c r="P14" i="1"/>
  <c r="Q55" i="1"/>
  <c r="R64" i="1"/>
  <c r="O79" i="1"/>
  <c r="O93" i="1"/>
  <c r="P94" i="1"/>
  <c r="N19" i="1"/>
  <c r="P19" i="1" s="1"/>
  <c r="R19" i="1" s="1"/>
  <c r="O21" i="1"/>
  <c r="Q21" i="1" s="1"/>
  <c r="S21" i="1" s="1"/>
  <c r="N64" i="1"/>
  <c r="P60" i="1"/>
  <c r="R60" i="1" s="1"/>
  <c r="S63" i="1"/>
  <c r="S64" i="1" s="1"/>
  <c r="P64" i="1"/>
  <c r="R80" i="1"/>
  <c r="R79" i="1" s="1"/>
  <c r="P79" i="1"/>
  <c r="D91" i="1"/>
  <c r="N91" i="1"/>
  <c r="Q93" i="1"/>
  <c r="Q91" i="1"/>
  <c r="D93" i="1"/>
  <c r="S94" i="1"/>
  <c r="S95" i="1" s="1"/>
  <c r="R96" i="1"/>
  <c r="R97" i="1" s="1"/>
  <c r="P48" i="1"/>
  <c r="N47" i="1"/>
  <c r="N68" i="1"/>
  <c r="N67" i="1" s="1"/>
  <c r="N66" i="1" s="1"/>
  <c r="N90" i="1" s="1"/>
  <c r="S69" i="1"/>
  <c r="S68" i="1" s="1"/>
  <c r="S67" i="1" s="1"/>
  <c r="Q68" i="1"/>
  <c r="Q67" i="1" s="1"/>
  <c r="Q76" i="1"/>
  <c r="O75" i="1"/>
  <c r="O66" i="1" s="1"/>
  <c r="O90" i="1" s="1"/>
  <c r="P92" i="1"/>
  <c r="Q66" i="2" l="1"/>
  <c r="Q90" i="2" s="1"/>
  <c r="P12" i="2"/>
  <c r="S93" i="2"/>
  <c r="S91" i="2"/>
  <c r="O12" i="2"/>
  <c r="T97" i="2"/>
  <c r="T91" i="2"/>
  <c r="S91" i="1"/>
  <c r="Q13" i="1"/>
  <c r="O12" i="1"/>
  <c r="S76" i="1"/>
  <c r="S75" i="1" s="1"/>
  <c r="S66" i="1" s="1"/>
  <c r="S90" i="1" s="1"/>
  <c r="Q75" i="1"/>
  <c r="Q66" i="1" s="1"/>
  <c r="Q90" i="1" s="1"/>
  <c r="R48" i="1"/>
  <c r="R47" i="1" s="1"/>
  <c r="P47" i="1"/>
  <c r="N12" i="1"/>
  <c r="P13" i="1"/>
  <c r="P93" i="1"/>
  <c r="R92" i="1"/>
  <c r="P91" i="1"/>
  <c r="P95" i="1"/>
  <c r="R94" i="1"/>
  <c r="R95" i="1" s="1"/>
  <c r="Q57" i="1"/>
  <c r="S55" i="1"/>
  <c r="S57" i="1" s="1"/>
  <c r="S12" i="2" l="1"/>
  <c r="Q12" i="2"/>
  <c r="T12" i="2"/>
  <c r="R12" i="2"/>
  <c r="R93" i="1"/>
  <c r="R91" i="1"/>
  <c r="R13" i="1"/>
  <c r="R12" i="1" s="1"/>
  <c r="P12" i="1"/>
  <c r="S13" i="1"/>
  <c r="S12" i="1" s="1"/>
  <c r="Q12" i="1"/>
</calcChain>
</file>

<file path=xl/comments1.xml><?xml version="1.0" encoding="utf-8"?>
<comments xmlns="http://schemas.openxmlformats.org/spreadsheetml/2006/main">
  <authors>
    <author>BogdanovaOA</author>
  </authors>
  <commentList>
    <comment ref="E96" authorId="0" shapeId="0">
      <text>
        <r>
          <rPr>
            <sz val="8"/>
            <color indexed="81"/>
            <rFont val="Tahoma"/>
            <family val="2"/>
            <charset val="204"/>
          </rPr>
          <t xml:space="preserve">за вычетом услуг ООО МПО,ООО ТБ, ООО Автотранссервис
</t>
        </r>
      </text>
    </comment>
  </commentList>
</comments>
</file>

<file path=xl/comments2.xml><?xml version="1.0" encoding="utf-8"?>
<comments xmlns="http://schemas.openxmlformats.org/spreadsheetml/2006/main">
  <authors>
    <author>BogdanovaOA</author>
  </authors>
  <commentList>
    <comment ref="E96" authorId="0" shapeId="0">
      <text>
        <r>
          <rPr>
            <sz val="8"/>
            <color indexed="81"/>
            <rFont val="Tahoma"/>
            <family val="2"/>
            <charset val="204"/>
          </rPr>
          <t xml:space="preserve">за вычетом услуг ООО МПО,ООО ТБ, ООО Автотранссервис
</t>
        </r>
      </text>
    </comment>
  </commentList>
</comments>
</file>

<file path=xl/comments3.xml><?xml version="1.0" encoding="utf-8"?>
<comments xmlns="http://schemas.openxmlformats.org/spreadsheetml/2006/main">
  <authors>
    <author>BogdanovaOA</author>
  </authors>
  <commentList>
    <comment ref="E96" authorId="0" shapeId="0">
      <text>
        <r>
          <rPr>
            <sz val="8"/>
            <color indexed="81"/>
            <rFont val="Tahoma"/>
            <family val="2"/>
            <charset val="204"/>
          </rPr>
          <t xml:space="preserve">за вычетом услуг ООО МПО,ООО ТБ, ООО Автотранссервис
</t>
        </r>
      </text>
    </comment>
  </commentList>
</comments>
</file>

<file path=xl/comments4.xml><?xml version="1.0" encoding="utf-8"?>
<comments xmlns="http://schemas.openxmlformats.org/spreadsheetml/2006/main">
  <authors>
    <author>BogdanovaOA</author>
  </authors>
  <commentList>
    <comment ref="E96" authorId="0" shapeId="0">
      <text>
        <r>
          <rPr>
            <sz val="8"/>
            <color indexed="81"/>
            <rFont val="Tahoma"/>
            <family val="2"/>
            <charset val="204"/>
          </rPr>
          <t xml:space="preserve">за вычетом услуг ООО МПО,ООО ТБ, ООО Автотранссервис
</t>
        </r>
      </text>
    </comment>
  </commentList>
</comments>
</file>

<file path=xl/sharedStrings.xml><?xml version="1.0" encoding="utf-8"?>
<sst xmlns="http://schemas.openxmlformats.org/spreadsheetml/2006/main" count="992" uniqueCount="165">
  <si>
    <t>Приложение № 2 к постановлению</t>
  </si>
  <si>
    <t xml:space="preserve">            администрации г.п.Талинка</t>
  </si>
  <si>
    <t xml:space="preserve">Основные показатели для разработки прогноза </t>
  </si>
  <si>
    <t xml:space="preserve">социально-экономического развития муниципального образования городское поселение Талинка </t>
  </si>
  <si>
    <t xml:space="preserve">на 2022 год и на период до 2024 года. </t>
  </si>
  <si>
    <t>№ п/п</t>
  </si>
  <si>
    <t>Наименование показателей</t>
  </si>
  <si>
    <t xml:space="preserve"> Ед.                        измер.</t>
  </si>
  <si>
    <t>2012г.                  отчет</t>
  </si>
  <si>
    <t>2013 г.                        отчет</t>
  </si>
  <si>
    <t>2014 г. отчет</t>
  </si>
  <si>
    <t>2015 г.      отчет</t>
  </si>
  <si>
    <t>2016 г.      отчет</t>
  </si>
  <si>
    <t>2017 г.      отчет</t>
  </si>
  <si>
    <t>2018 г. отчет</t>
  </si>
  <si>
    <t>2019 г. отчет</t>
  </si>
  <si>
    <t>2020 г. отчет</t>
  </si>
  <si>
    <t>2021г.      оценка</t>
  </si>
  <si>
    <t xml:space="preserve">  2022г.- прогноз</t>
  </si>
  <si>
    <t xml:space="preserve">  2023 г.- прогноз</t>
  </si>
  <si>
    <t xml:space="preserve">  2024 г.- прогноз</t>
  </si>
  <si>
    <t>Базовый</t>
  </si>
  <si>
    <t>Консерва-тивный</t>
  </si>
  <si>
    <t>I.</t>
  </si>
  <si>
    <t>Производство промышленной продукции</t>
  </si>
  <si>
    <t>1.</t>
  </si>
  <si>
    <t>Отгружено товаров собственного производства, выполнено работ и услуг собственными силами - всего</t>
  </si>
  <si>
    <t>тыс. руб.</t>
  </si>
  <si>
    <t>1.1.</t>
  </si>
  <si>
    <t>Добыча топливно-энергетических полезных ископаемых</t>
  </si>
  <si>
    <t>1.2.</t>
  </si>
  <si>
    <t>в том числе по видам деятельности и организациям - производителям промышленной продуции (МУП "УТС г.п. Талинка"+ООО "Талинское благоустройство")</t>
  </si>
  <si>
    <t>тепло</t>
  </si>
  <si>
    <t>холодная вода</t>
  </si>
  <si>
    <t>горячая вода</t>
  </si>
  <si>
    <t>1.3.</t>
  </si>
  <si>
    <t>ООО "Хлебозавод" хлебобулочные изделия</t>
  </si>
  <si>
    <t>1.4.</t>
  </si>
  <si>
    <t>ООО "Пермнефтеотдача", услуги ремонта</t>
  </si>
  <si>
    <t>1.5.</t>
  </si>
  <si>
    <t>ООО "МинЭл", передача электроэнергии</t>
  </si>
  <si>
    <t>1.6.</t>
  </si>
  <si>
    <t>ООО "Автотранссервис", услуги ремонта</t>
  </si>
  <si>
    <t>1.7.</t>
  </si>
  <si>
    <t>ООО "ГЕОСТРОЙ"</t>
  </si>
  <si>
    <t>ООО "СтройТерминал"</t>
  </si>
  <si>
    <t>ООО "Тюменская геофизическая компания"</t>
  </si>
  <si>
    <t>1.10.</t>
  </si>
  <si>
    <t xml:space="preserve"> ИП Маценко О.А. (Швейные изделия)</t>
  </si>
  <si>
    <t>2.</t>
  </si>
  <si>
    <t xml:space="preserve">Произведено промышленной продукции в натуральном выражении (МУП "УТС г.п.Талинка"+ООО "Талинское благоустройство"):                    </t>
  </si>
  <si>
    <t>в соотв.ед.</t>
  </si>
  <si>
    <t>тепловая энергия</t>
  </si>
  <si>
    <t>тыс. Гкал</t>
  </si>
  <si>
    <t>вода</t>
  </si>
  <si>
    <t>тыс.м куб.</t>
  </si>
  <si>
    <t>3.</t>
  </si>
  <si>
    <t xml:space="preserve"> ООО "Хлебозавод", хлебобулочные изделия</t>
  </si>
  <si>
    <t xml:space="preserve"> тонн</t>
  </si>
  <si>
    <t>4.</t>
  </si>
  <si>
    <t>ремонтов</t>
  </si>
  <si>
    <t>5.</t>
  </si>
  <si>
    <t>тыс.кВт*ч</t>
  </si>
  <si>
    <t>6.</t>
  </si>
  <si>
    <t>7.</t>
  </si>
  <si>
    <t>тыс. ед.</t>
  </si>
  <si>
    <t>II.</t>
  </si>
  <si>
    <t>Производство агропромышленной продукции сельхозпредприятиями</t>
  </si>
  <si>
    <t xml:space="preserve">Произведено сельскохозяйственной продукции в натуральном выражении:   в том числе по организациям - производителям продукции                 </t>
  </si>
  <si>
    <t>Мясо</t>
  </si>
  <si>
    <t>тонн</t>
  </si>
  <si>
    <t>молоко</t>
  </si>
  <si>
    <t>Яйцо</t>
  </si>
  <si>
    <t>млн.штук</t>
  </si>
  <si>
    <t>ООО "Хоз-во Талинское", мясо</t>
  </si>
  <si>
    <t>КФХ "Ревазов", мясо</t>
  </si>
  <si>
    <t>КФХ "Милосердов", мясо</t>
  </si>
  <si>
    <t>КФХ "ИП Кучкаров", мясо</t>
  </si>
  <si>
    <t>КФХ "Иванова М.Н."</t>
  </si>
  <si>
    <t>мясо</t>
  </si>
  <si>
    <t>яйцо</t>
  </si>
  <si>
    <t>Реализовано сельскохозяйственной продукции</t>
  </si>
  <si>
    <t>продукция животноводства</t>
  </si>
  <si>
    <t>хлебобулочные изделия</t>
  </si>
  <si>
    <t>III.</t>
  </si>
  <si>
    <t>Демографические показатели</t>
  </si>
  <si>
    <t>Численность постоянного населения (среднегодовая)</t>
  </si>
  <si>
    <t>тыс. чел.</t>
  </si>
  <si>
    <t>Число прибывших</t>
  </si>
  <si>
    <t>Число убывших</t>
  </si>
  <si>
    <t>Миграционный прирост</t>
  </si>
  <si>
    <t>Естественный прирост</t>
  </si>
  <si>
    <t>IV.</t>
  </si>
  <si>
    <t>Труд и занятость</t>
  </si>
  <si>
    <t>Среднесписочная численность работников организаций</t>
  </si>
  <si>
    <t>Численность безработных, зарегистрированных в службах занятости</t>
  </si>
  <si>
    <t>Денежные доходы населения</t>
  </si>
  <si>
    <t>млн.рублей</t>
  </si>
  <si>
    <t>Фонд заработной платы работников организаций</t>
  </si>
  <si>
    <t>Номинальная среднемесячная заработная плата</t>
  </si>
  <si>
    <t>тыс.рублей</t>
  </si>
  <si>
    <t>V.</t>
  </si>
  <si>
    <t>Бюджет муниципального образования</t>
  </si>
  <si>
    <t>Доходы бюджета муниципального образования</t>
  </si>
  <si>
    <t>млн руб.</t>
  </si>
  <si>
    <t>Налоговые и неналоговые доходы, всего</t>
  </si>
  <si>
    <t>1.1.1.</t>
  </si>
  <si>
    <t>Налоговые доходы всего, в том числе:</t>
  </si>
  <si>
    <t>налог на доходы физических лиц</t>
  </si>
  <si>
    <t>акцизы</t>
  </si>
  <si>
    <t>налог на имущество физических лиц</t>
  </si>
  <si>
    <t>транспортный налог</t>
  </si>
  <si>
    <t>земельный налог</t>
  </si>
  <si>
    <t>1.1.2.</t>
  </si>
  <si>
    <t>Неналоговые доходы всего:</t>
  </si>
  <si>
    <t>Безвозмездные поступления всего, в том числе</t>
  </si>
  <si>
    <t>субсидии (иные межбюджетные)</t>
  </si>
  <si>
    <t xml:space="preserve">субвенции </t>
  </si>
  <si>
    <t xml:space="preserve">дотации </t>
  </si>
  <si>
    <t>Расходы  бюджета муниципального образования всего, в том числе по направлениям: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</si>
  <si>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</si>
  <si>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</si>
  <si>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</si>
  <si>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</si>
  <si>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</si>
  <si>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</si>
  <si>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здравоохранение</t>
  </si>
  <si>
    <t>культура, кинематография</t>
  </si>
  <si>
    <t>социальная политика</t>
  </si>
  <si>
    <t>физическая культура и спорт</t>
  </si>
  <si>
    <t>Дефицит(-), профицит(+) бюджета муниципального образования</t>
  </si>
  <si>
    <t>VI.</t>
  </si>
  <si>
    <t>Рынок товаров и услуг</t>
  </si>
  <si>
    <t>Оборот розничной торговли</t>
  </si>
  <si>
    <t>тыс. руб. в ценах соответствующих лет</t>
  </si>
  <si>
    <t>в % к предыдущему году в сопоставимых ценах</t>
  </si>
  <si>
    <t>%</t>
  </si>
  <si>
    <t>Оборот общественного питания</t>
  </si>
  <si>
    <t>Объем платных услуг населению</t>
  </si>
  <si>
    <t>Исполнители: Пронина Т.Н., тел. 8 (34672) 26-101, доб.*5</t>
  </si>
  <si>
    <t>от "30" августа 2021 г. № 315</t>
  </si>
  <si>
    <t xml:space="preserve">на 2023 год и на период до 2025 года. </t>
  </si>
  <si>
    <t>от "04" августа 2022 г. № 279</t>
  </si>
  <si>
    <t>2021 г. отчет</t>
  </si>
  <si>
    <t>2022г.      оценка</t>
  </si>
  <si>
    <t xml:space="preserve">  2023г.- прогноз</t>
  </si>
  <si>
    <t>Базовый (2-й вариант)</t>
  </si>
  <si>
    <t>Консервативный (1-й вариант)</t>
  </si>
  <si>
    <t xml:space="preserve">  2025 г.- прогноз</t>
  </si>
  <si>
    <t xml:space="preserve">на 2024 год и на период до 2026 года. </t>
  </si>
  <si>
    <t>2022 г. отчет</t>
  </si>
  <si>
    <t>2023г.      оценка</t>
  </si>
  <si>
    <t xml:space="preserve">  2024г.- прогноз</t>
  </si>
  <si>
    <t xml:space="preserve">  2026 г.- прогноз</t>
  </si>
  <si>
    <t>от "15" марта 2023 г. № 57</t>
  </si>
  <si>
    <t xml:space="preserve">за 2022 год </t>
  </si>
  <si>
    <t>2021 г. отчет (год)</t>
  </si>
  <si>
    <t>2022г.      Факт</t>
  </si>
  <si>
    <t>ООО "ТМК Трубный Сервис"</t>
  </si>
  <si>
    <t>ООО "Римера-Сервис_Нягань"</t>
  </si>
  <si>
    <t>шт.</t>
  </si>
  <si>
    <t>8.</t>
  </si>
  <si>
    <t xml:space="preserve"> ООО "Римера-Сервис-Нягань</t>
  </si>
  <si>
    <t>тыс.сут./обслуж.</t>
  </si>
  <si>
    <t>от "07" августа 2023 г. №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</si>
</sst>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_)"/>
    <numFmt numFmtId="165" formatCode="#,##0.0"/>
    <numFmt numFmtId="166" formatCode="#,##0.000"/>
    <numFmt numFmtId="167" formatCode="#,##0.0000"/>
  </numFmts>
  <fonts count="1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3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ill="1"/>
    <xf numFmtId="164" fontId="5" fillId="0" borderId="0" xfId="0" applyNumberFormat="1" applyFont="1" applyFill="1" applyAlignment="1" applyProtection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 applyProtection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10" xfId="0" quotePrefix="1" applyNumberFormat="1" applyFont="1" applyFill="1" applyBorder="1" applyAlignment="1">
      <alignment horizontal="center" vertical="center" wrapText="1"/>
    </xf>
    <xf numFmtId="3" fontId="9" fillId="0" borderId="10" xfId="0" quotePrefix="1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3" fontId="9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vertical="center" wrapText="1"/>
    </xf>
    <xf numFmtId="3" fontId="2" fillId="0" borderId="14" xfId="0" applyNumberFormat="1" applyFont="1" applyFill="1" applyBorder="1" applyAlignment="1">
      <alignment vertical="center" wrapText="1"/>
    </xf>
    <xf numFmtId="0" fontId="7" fillId="0" borderId="0" xfId="0" applyFont="1" applyFill="1"/>
    <xf numFmtId="165" fontId="2" fillId="0" borderId="13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vertical="center" wrapText="1"/>
    </xf>
    <xf numFmtId="3" fontId="10" fillId="0" borderId="13" xfId="0" applyNumberFormat="1" applyFont="1" applyFill="1" applyBorder="1" applyAlignment="1">
      <alignment vertical="center" wrapText="1"/>
    </xf>
    <xf numFmtId="4" fontId="2" fillId="0" borderId="13" xfId="0" applyNumberFormat="1" applyFont="1" applyFill="1" applyBorder="1" applyAlignment="1">
      <alignment vertical="center" wrapText="1"/>
    </xf>
    <xf numFmtId="3" fontId="11" fillId="3" borderId="13" xfId="0" applyNumberFormat="1" applyFont="1" applyFill="1" applyBorder="1" applyAlignment="1">
      <alignment vertical="center" wrapText="1"/>
    </xf>
    <xf numFmtId="3" fontId="2" fillId="3" borderId="13" xfId="0" applyNumberFormat="1" applyFont="1" applyFill="1" applyBorder="1" applyAlignment="1">
      <alignment vertical="center" wrapText="1"/>
    </xf>
    <xf numFmtId="3" fontId="2" fillId="3" borderId="14" xfId="0" applyNumberFormat="1" applyFont="1" applyFill="1" applyBorder="1" applyAlignment="1">
      <alignment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3" fontId="9" fillId="0" borderId="13" xfId="0" applyNumberFormat="1" applyFont="1" applyFill="1" applyBorder="1" applyAlignment="1">
      <alignment vertical="center" wrapText="1"/>
    </xf>
    <xf numFmtId="3" fontId="9" fillId="0" borderId="14" xfId="0" applyNumberFormat="1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left" vertical="center" wrapText="1"/>
    </xf>
    <xf numFmtId="165" fontId="10" fillId="0" borderId="13" xfId="0" applyNumberFormat="1" applyFont="1" applyFill="1" applyBorder="1" applyAlignment="1">
      <alignment vertical="center" wrapText="1"/>
    </xf>
    <xf numFmtId="166" fontId="2" fillId="0" borderId="13" xfId="0" applyNumberFormat="1" applyFont="1" applyFill="1" applyBorder="1" applyAlignment="1">
      <alignment vertical="center" wrapText="1"/>
    </xf>
    <xf numFmtId="166" fontId="9" fillId="0" borderId="13" xfId="0" applyNumberFormat="1" applyFont="1" applyFill="1" applyBorder="1" applyAlignment="1">
      <alignment vertical="center" wrapText="1"/>
    </xf>
    <xf numFmtId="166" fontId="9" fillId="0" borderId="14" xfId="0" applyNumberFormat="1" applyFont="1" applyFill="1" applyBorder="1" applyAlignment="1">
      <alignment vertical="center" wrapText="1"/>
    </xf>
    <xf numFmtId="165" fontId="2" fillId="3" borderId="13" xfId="0" applyNumberFormat="1" applyFont="1" applyFill="1" applyBorder="1" applyAlignment="1">
      <alignment vertical="center" wrapText="1"/>
    </xf>
    <xf numFmtId="165" fontId="2" fillId="0" borderId="14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165" fontId="10" fillId="3" borderId="13" xfId="0" applyNumberFormat="1" applyFont="1" applyFill="1" applyBorder="1" applyAlignment="1">
      <alignment vertical="center" wrapText="1"/>
    </xf>
    <xf numFmtId="165" fontId="10" fillId="0" borderId="14" xfId="0" applyNumberFormat="1" applyFont="1" applyFill="1" applyBorder="1" applyAlignment="1">
      <alignment vertical="center" wrapText="1"/>
    </xf>
    <xf numFmtId="4" fontId="9" fillId="0" borderId="13" xfId="0" applyNumberFormat="1" applyFont="1" applyFill="1" applyBorder="1" applyAlignment="1">
      <alignment vertical="center" wrapText="1"/>
    </xf>
    <xf numFmtId="4" fontId="9" fillId="0" borderId="14" xfId="0" applyNumberFormat="1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4" fontId="2" fillId="0" borderId="14" xfId="0" applyNumberFormat="1" applyFont="1" applyFill="1" applyBorder="1" applyAlignment="1">
      <alignment vertical="center" wrapText="1"/>
    </xf>
    <xf numFmtId="167" fontId="2" fillId="0" borderId="13" xfId="0" applyNumberFormat="1" applyFont="1" applyFill="1" applyBorder="1" applyAlignment="1">
      <alignment vertical="center" wrapText="1"/>
    </xf>
    <xf numFmtId="167" fontId="9" fillId="0" borderId="13" xfId="0" applyNumberFormat="1" applyFont="1" applyFill="1" applyBorder="1" applyAlignment="1">
      <alignment vertical="center" wrapText="1"/>
    </xf>
    <xf numFmtId="166" fontId="12" fillId="0" borderId="13" xfId="0" applyNumberFormat="1" applyFont="1" applyFill="1" applyBorder="1" applyAlignment="1">
      <alignment vertical="center" wrapText="1"/>
    </xf>
    <xf numFmtId="166" fontId="12" fillId="0" borderId="14" xfId="0" applyNumberFormat="1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vertical="center" wrapText="1"/>
    </xf>
    <xf numFmtId="167" fontId="10" fillId="0" borderId="13" xfId="0" applyNumberFormat="1" applyFont="1" applyFill="1" applyBorder="1" applyAlignment="1">
      <alignment vertical="center" wrapText="1"/>
    </xf>
    <xf numFmtId="4" fontId="10" fillId="0" borderId="14" xfId="0" applyNumberFormat="1" applyFont="1" applyFill="1" applyBorder="1" applyAlignment="1">
      <alignment vertical="center" wrapText="1"/>
    </xf>
    <xf numFmtId="4" fontId="10" fillId="3" borderId="13" xfId="0" applyNumberFormat="1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166" fontId="8" fillId="0" borderId="13" xfId="0" applyNumberFormat="1" applyFont="1" applyFill="1" applyBorder="1" applyAlignment="1">
      <alignment vertical="center" wrapText="1"/>
    </xf>
    <xf numFmtId="166" fontId="13" fillId="0" borderId="13" xfId="0" applyNumberFormat="1" applyFont="1" applyFill="1" applyBorder="1" applyAlignment="1">
      <alignment vertical="center" wrapText="1"/>
    </xf>
    <xf numFmtId="166" fontId="13" fillId="0" borderId="14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justify" vertical="center" wrapText="1"/>
    </xf>
    <xf numFmtId="166" fontId="2" fillId="0" borderId="14" xfId="0" applyNumberFormat="1" applyFont="1" applyFill="1" applyBorder="1" applyAlignment="1">
      <alignment vertical="center" wrapText="1"/>
    </xf>
    <xf numFmtId="166" fontId="2" fillId="3" borderId="13" xfId="0" applyNumberFormat="1" applyFont="1" applyFill="1" applyBorder="1" applyAlignment="1">
      <alignment vertical="center" wrapText="1"/>
    </xf>
    <xf numFmtId="166" fontId="2" fillId="3" borderId="14" xfId="0" applyNumberFormat="1" applyFont="1" applyFill="1" applyBorder="1" applyAlignment="1">
      <alignment vertical="center" wrapText="1"/>
    </xf>
    <xf numFmtId="167" fontId="13" fillId="0" borderId="13" xfId="0" applyNumberFormat="1" applyFont="1" applyFill="1" applyBorder="1" applyAlignment="1">
      <alignment vertical="center" wrapText="1"/>
    </xf>
    <xf numFmtId="167" fontId="13" fillId="0" borderId="14" xfId="0" applyNumberFormat="1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/>
    </xf>
    <xf numFmtId="166" fontId="14" fillId="0" borderId="13" xfId="0" applyNumberFormat="1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2" fillId="0" borderId="16" xfId="0" applyFont="1" applyFill="1" applyBorder="1" applyAlignment="1">
      <alignment horizontal="center" vertical="center"/>
    </xf>
    <xf numFmtId="3" fontId="8" fillId="0" borderId="13" xfId="0" applyNumberFormat="1" applyFont="1" applyFill="1" applyBorder="1" applyAlignment="1">
      <alignment vertical="center" wrapText="1"/>
    </xf>
    <xf numFmtId="165" fontId="8" fillId="0" borderId="13" xfId="0" applyNumberFormat="1" applyFont="1" applyFill="1" applyBorder="1" applyAlignment="1">
      <alignment vertical="center" wrapText="1"/>
    </xf>
    <xf numFmtId="3" fontId="8" fillId="3" borderId="13" xfId="0" applyNumberFormat="1" applyFont="1" applyFill="1" applyBorder="1" applyAlignment="1">
      <alignment vertical="center" wrapText="1"/>
    </xf>
    <xf numFmtId="3" fontId="8" fillId="0" borderId="14" xfId="0" applyNumberFormat="1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vertical="center" wrapText="1"/>
    </xf>
    <xf numFmtId="165" fontId="2" fillId="0" borderId="6" xfId="0" applyNumberFormat="1" applyFont="1" applyFill="1" applyBorder="1" applyAlignment="1">
      <alignment vertical="center" wrapText="1"/>
    </xf>
    <xf numFmtId="165" fontId="2" fillId="0" borderId="8" xfId="0" applyNumberFormat="1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3" fontId="15" fillId="0" borderId="0" xfId="0" applyNumberFormat="1" applyFont="1" applyAlignment="1">
      <alignment vertical="center" wrapText="1"/>
    </xf>
    <xf numFmtId="3" fontId="15" fillId="0" borderId="0" xfId="0" applyNumberFormat="1" applyFont="1" applyFill="1" applyAlignment="1">
      <alignment vertical="center" wrapText="1"/>
    </xf>
    <xf numFmtId="3" fontId="2" fillId="0" borderId="0" xfId="0" applyNumberFormat="1" applyFont="1" applyFill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166" fontId="10" fillId="0" borderId="13" xfId="0" applyNumberFormat="1" applyFont="1" applyFill="1" applyBorder="1" applyAlignment="1">
      <alignment vertical="center" wrapText="1"/>
    </xf>
    <xf numFmtId="166" fontId="10" fillId="0" borderId="14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3" fontId="9" fillId="3" borderId="13" xfId="0" applyNumberFormat="1" applyFont="1" applyFill="1" applyBorder="1" applyAlignment="1">
      <alignment vertical="center" wrapText="1"/>
    </xf>
    <xf numFmtId="165" fontId="9" fillId="3" borderId="13" xfId="0" applyNumberFormat="1" applyFont="1" applyFill="1" applyBorder="1" applyAlignment="1">
      <alignment vertical="center" wrapText="1"/>
    </xf>
    <xf numFmtId="165" fontId="12" fillId="0" borderId="13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166" fontId="9" fillId="3" borderId="13" xfId="0" applyNumberFormat="1" applyFont="1" applyFill="1" applyBorder="1" applyAlignment="1">
      <alignment vertical="center" wrapText="1"/>
    </xf>
    <xf numFmtId="3" fontId="13" fillId="3" borderId="13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vertical="center" wrapText="1"/>
    </xf>
    <xf numFmtId="165" fontId="9" fillId="0" borderId="6" xfId="0" applyNumberFormat="1" applyFont="1" applyFill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3" fontId="11" fillId="0" borderId="10" xfId="0" quotePrefix="1" applyNumberFormat="1" applyFont="1" applyFill="1" applyBorder="1" applyAlignment="1">
      <alignment horizontal="center" vertical="center" wrapText="1"/>
    </xf>
    <xf numFmtId="3" fontId="11" fillId="0" borderId="13" xfId="0" applyNumberFormat="1" applyFont="1" applyFill="1" applyBorder="1" applyAlignment="1">
      <alignment vertical="center" wrapText="1"/>
    </xf>
    <xf numFmtId="0" fontId="10" fillId="4" borderId="13" xfId="0" applyFont="1" applyFill="1" applyBorder="1" applyAlignment="1">
      <alignment vertical="center" wrapText="1"/>
    </xf>
    <xf numFmtId="166" fontId="2" fillId="4" borderId="13" xfId="0" applyNumberFormat="1" applyFont="1" applyFill="1" applyBorder="1" applyAlignment="1">
      <alignment vertical="center" wrapText="1"/>
    </xf>
    <xf numFmtId="3" fontId="9" fillId="4" borderId="13" xfId="0" applyNumberFormat="1" applyFont="1" applyFill="1" applyBorder="1" applyAlignment="1">
      <alignment vertical="center" wrapText="1"/>
    </xf>
    <xf numFmtId="166" fontId="11" fillId="3" borderId="13" xfId="0" applyNumberFormat="1" applyFont="1" applyFill="1" applyBorder="1" applyAlignment="1">
      <alignment vertical="center" wrapText="1"/>
    </xf>
    <xf numFmtId="4" fontId="12" fillId="0" borderId="14" xfId="0" applyNumberFormat="1" applyFont="1" applyFill="1" applyBorder="1" applyAlignment="1">
      <alignment vertical="center" wrapText="1"/>
    </xf>
    <xf numFmtId="166" fontId="11" fillId="3" borderId="14" xfId="0" applyNumberFormat="1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102"/>
  <sheetViews>
    <sheetView zoomScale="75" workbookViewId="0">
      <pane ySplit="12" topLeftCell="A15" activePane="bottomLeft" state="frozen"/>
      <selection pane="bottomLeft" activeCell="M19" sqref="M19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6640625" style="2" hidden="1" customWidth="1" outlineLevel="1"/>
    <col min="5" max="6" width="11.6640625" style="6" hidden="1" customWidth="1" outlineLevel="1"/>
    <col min="7" max="10" width="11.33203125" style="2" hidden="1" customWidth="1" outlineLevel="1"/>
    <col min="11" max="11" width="11.33203125" style="2" customWidth="1" collapsed="1"/>
    <col min="12" max="12" width="11.33203125" style="2" customWidth="1"/>
    <col min="13" max="13" width="12.6640625" style="2" customWidth="1"/>
    <col min="14" max="14" width="11.5546875" style="2" customWidth="1"/>
    <col min="15" max="15" width="14" style="2" customWidth="1"/>
    <col min="16" max="16" width="10.44140625" style="2" customWidth="1"/>
    <col min="17" max="17" width="11.88671875" style="2" customWidth="1"/>
    <col min="18" max="18" width="10.44140625" style="2" customWidth="1"/>
    <col min="19" max="19" width="11.88671875" style="2" customWidth="1"/>
  </cols>
  <sheetData>
    <row r="1" spans="1:22" ht="18.75" customHeight="1" x14ac:dyDescent="0.3">
      <c r="D1" s="3"/>
      <c r="E1" s="4"/>
      <c r="F1" s="4"/>
      <c r="N1" s="136" t="s">
        <v>0</v>
      </c>
      <c r="O1" s="136"/>
      <c r="P1" s="136"/>
      <c r="Q1" s="136"/>
    </row>
    <row r="2" spans="1:22" ht="18.75" customHeight="1" x14ac:dyDescent="0.3">
      <c r="D2" s="3"/>
      <c r="E2" s="4"/>
      <c r="F2" s="4"/>
      <c r="N2" s="137" t="s">
        <v>1</v>
      </c>
      <c r="O2" s="137"/>
      <c r="P2" s="137"/>
      <c r="Q2" s="137"/>
    </row>
    <row r="3" spans="1:22" s="9" customFormat="1" ht="18.75" customHeight="1" x14ac:dyDescent="0.3">
      <c r="A3" s="5"/>
      <c r="B3" s="6"/>
      <c r="C3" s="6"/>
      <c r="D3" s="4"/>
      <c r="E3" s="4"/>
      <c r="F3" s="4"/>
      <c r="G3" s="7"/>
      <c r="H3" s="7"/>
      <c r="I3" s="7"/>
      <c r="J3" s="7"/>
      <c r="K3" s="7"/>
      <c r="L3" s="7"/>
      <c r="M3" s="7"/>
      <c r="N3" s="137" t="s">
        <v>154</v>
      </c>
      <c r="O3" s="137"/>
      <c r="P3" s="137"/>
      <c r="Q3" s="137"/>
      <c r="R3" s="8"/>
      <c r="S3" s="8"/>
    </row>
    <row r="4" spans="1:22" s="9" customFormat="1" ht="18.75" customHeight="1" x14ac:dyDescent="0.25">
      <c r="A4" s="5"/>
      <c r="B4" s="6"/>
      <c r="C4" s="6"/>
      <c r="D4" s="4"/>
      <c r="E4" s="4"/>
      <c r="F4" s="4"/>
      <c r="G4" s="7"/>
      <c r="H4" s="7"/>
      <c r="I4" s="7"/>
      <c r="J4" s="7"/>
      <c r="K4" s="7"/>
      <c r="L4" s="7"/>
      <c r="M4" s="7"/>
      <c r="N4" s="7"/>
      <c r="O4" s="8"/>
      <c r="P4" s="8"/>
      <c r="Q4" s="8"/>
      <c r="R4" s="8"/>
      <c r="S4" s="8"/>
    </row>
    <row r="5" spans="1:22" s="9" customFormat="1" ht="18.75" customHeight="1" x14ac:dyDescent="0.25">
      <c r="A5" s="138" t="s">
        <v>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</row>
    <row r="6" spans="1:22" s="9" customFormat="1" ht="18.75" customHeight="1" x14ac:dyDescent="0.25">
      <c r="A6" s="138" t="s">
        <v>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</row>
    <row r="7" spans="1:22" s="9" customFormat="1" ht="18.75" customHeight="1" x14ac:dyDescent="0.25">
      <c r="A7" s="138" t="s">
        <v>155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</row>
    <row r="8" spans="1:22" s="9" customFormat="1" ht="26.25" customHeight="1" thickBot="1" x14ac:dyDescent="0.3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</row>
    <row r="9" spans="1:22" s="9" customFormat="1" ht="26.25" customHeight="1" x14ac:dyDescent="0.25">
      <c r="A9" s="128" t="s">
        <v>5</v>
      </c>
      <c r="B9" s="130" t="s">
        <v>6</v>
      </c>
      <c r="C9" s="132" t="s">
        <v>7</v>
      </c>
      <c r="D9" s="130" t="s">
        <v>8</v>
      </c>
      <c r="E9" s="130" t="s">
        <v>9</v>
      </c>
      <c r="F9" s="126" t="s">
        <v>10</v>
      </c>
      <c r="G9" s="126" t="s">
        <v>11</v>
      </c>
      <c r="H9" s="126" t="s">
        <v>12</v>
      </c>
      <c r="I9" s="126" t="s">
        <v>13</v>
      </c>
      <c r="J9" s="126" t="s">
        <v>14</v>
      </c>
      <c r="K9" s="126" t="s">
        <v>16</v>
      </c>
      <c r="L9" s="126" t="s">
        <v>156</v>
      </c>
      <c r="M9" s="126" t="s">
        <v>157</v>
      </c>
      <c r="N9" s="139" t="s">
        <v>18</v>
      </c>
      <c r="O9" s="140"/>
      <c r="P9" s="139" t="s">
        <v>19</v>
      </c>
      <c r="Q9" s="140"/>
      <c r="R9" s="139" t="s">
        <v>20</v>
      </c>
      <c r="S9" s="141"/>
    </row>
    <row r="10" spans="1:22" s="14" customFormat="1" ht="30.6" thickBot="1" x14ac:dyDescent="0.3">
      <c r="A10" s="129"/>
      <c r="B10" s="131"/>
      <c r="C10" s="133"/>
      <c r="D10" s="134"/>
      <c r="E10" s="134"/>
      <c r="F10" s="135"/>
      <c r="G10" s="127"/>
      <c r="H10" s="127"/>
      <c r="I10" s="127"/>
      <c r="J10" s="127"/>
      <c r="K10" s="127"/>
      <c r="L10" s="127"/>
      <c r="M10" s="127"/>
      <c r="N10" s="11" t="s">
        <v>21</v>
      </c>
      <c r="O10" s="104" t="s">
        <v>22</v>
      </c>
      <c r="P10" s="11" t="s">
        <v>21</v>
      </c>
      <c r="Q10" s="104" t="s">
        <v>22</v>
      </c>
      <c r="R10" s="11" t="s">
        <v>21</v>
      </c>
      <c r="S10" s="13" t="s">
        <v>22</v>
      </c>
      <c r="V10" s="14">
        <v>23</v>
      </c>
    </row>
    <row r="11" spans="1:22" s="14" customFormat="1" ht="15.6" x14ac:dyDescent="0.25">
      <c r="A11" s="15" t="s">
        <v>23</v>
      </c>
      <c r="B11" s="16" t="s">
        <v>24</v>
      </c>
      <c r="C11" s="17"/>
      <c r="D11" s="18"/>
      <c r="E11" s="18"/>
      <c r="F11" s="18"/>
      <c r="G11" s="19"/>
      <c r="H11" s="19"/>
      <c r="I11" s="19"/>
      <c r="J11" s="19"/>
      <c r="K11" s="19"/>
      <c r="L11" s="115"/>
      <c r="M11" s="19"/>
      <c r="N11" s="20"/>
      <c r="O11" s="21"/>
      <c r="P11" s="20"/>
      <c r="Q11" s="21"/>
      <c r="R11" s="20"/>
      <c r="S11" s="22"/>
    </row>
    <row r="12" spans="1:22" s="28" customFormat="1" ht="35.25" customHeight="1" x14ac:dyDescent="0.25">
      <c r="A12" s="23" t="s">
        <v>25</v>
      </c>
      <c r="B12" s="24" t="s">
        <v>26</v>
      </c>
      <c r="C12" s="25" t="s">
        <v>27</v>
      </c>
      <c r="D12" s="26" t="e">
        <f>D14+D18+D19+D20+D21+#REF!</f>
        <v>#REF!</v>
      </c>
      <c r="E12" s="26">
        <v>1179481</v>
      </c>
      <c r="F12" s="26">
        <f>806483/9*12</f>
        <v>1075310.6666666665</v>
      </c>
      <c r="G12" s="26">
        <v>2954984</v>
      </c>
      <c r="H12" s="26">
        <v>3035894</v>
      </c>
      <c r="I12" s="26" t="e">
        <f>I13+I14+I19+I20+I21+I22+#REF!</f>
        <v>#REF!</v>
      </c>
      <c r="J12" s="26" t="e">
        <f>J13+J14+J18+J19+J20+J21+J22+#REF!+J23+J24</f>
        <v>#REF!</v>
      </c>
      <c r="K12" s="26">
        <f>K13+K14+K18+K19+K20+K21+K22+K23+K24</f>
        <v>3075852.41</v>
      </c>
      <c r="L12" s="26">
        <v>3077000</v>
      </c>
      <c r="M12" s="39">
        <f t="shared" ref="M12:S12" si="0">M13+M14+M18+M19+M20+M21+M22+M23+M24</f>
        <v>5282342.6900000004</v>
      </c>
      <c r="N12" s="26">
        <f t="shared" si="0"/>
        <v>5082335.7039999999</v>
      </c>
      <c r="O12" s="26">
        <f t="shared" si="0"/>
        <v>5005612.2520000003</v>
      </c>
      <c r="P12" s="26">
        <f t="shared" si="0"/>
        <v>5099327.4553159997</v>
      </c>
      <c r="Q12" s="26">
        <f t="shared" si="0"/>
        <v>5117295.5275360011</v>
      </c>
      <c r="R12" s="26">
        <f t="shared" si="0"/>
        <v>5148001.1222452242</v>
      </c>
      <c r="S12" s="27">
        <f t="shared" si="0"/>
        <v>5161280.9316445999</v>
      </c>
    </row>
    <row r="13" spans="1:22" s="28" customFormat="1" ht="15.6" x14ac:dyDescent="0.25">
      <c r="A13" s="23" t="s">
        <v>28</v>
      </c>
      <c r="B13" s="24" t="s">
        <v>29</v>
      </c>
      <c r="C13" s="25" t="s">
        <v>27</v>
      </c>
      <c r="D13" s="26">
        <v>1714082</v>
      </c>
      <c r="E13" s="29">
        <v>1714928.8</v>
      </c>
      <c r="F13" s="29"/>
      <c r="G13" s="26">
        <f>E13*0.98</f>
        <v>1680630.2239999999</v>
      </c>
      <c r="H13" s="26">
        <v>1769703.6258719999</v>
      </c>
      <c r="I13" s="26">
        <v>1185192</v>
      </c>
      <c r="J13" s="26">
        <v>1782799</v>
      </c>
      <c r="K13" s="26">
        <f>I13*1.005</f>
        <v>1191117.96</v>
      </c>
      <c r="L13" s="26">
        <v>1179200</v>
      </c>
      <c r="M13" s="39">
        <f>L13*100.5/100/12*12</f>
        <v>1185096</v>
      </c>
      <c r="N13" s="26">
        <f>M13*103.4%</f>
        <v>1225389.264</v>
      </c>
      <c r="O13" s="26">
        <f>M13*102.7%</f>
        <v>1217093.5920000002</v>
      </c>
      <c r="P13" s="26">
        <f>N13*100.4%</f>
        <v>1230290.821056</v>
      </c>
      <c r="Q13" s="26">
        <f>O13*100.3%</f>
        <v>1220744.8727760001</v>
      </c>
      <c r="R13" s="26">
        <f>P13*100.9%</f>
        <v>1241363.4384455041</v>
      </c>
      <c r="S13" s="27">
        <f>Q13*100.5%</f>
        <v>1226848.5971398798</v>
      </c>
    </row>
    <row r="14" spans="1:22" s="28" customFormat="1" ht="46.8" x14ac:dyDescent="0.25">
      <c r="A14" s="23" t="s">
        <v>30</v>
      </c>
      <c r="B14" s="30" t="s">
        <v>31</v>
      </c>
      <c r="C14" s="25" t="s">
        <v>27</v>
      </c>
      <c r="D14" s="26">
        <f>D15+D16+D17</f>
        <v>83928</v>
      </c>
      <c r="E14" s="26">
        <f>E15+E16+E17</f>
        <v>91759</v>
      </c>
      <c r="F14" s="26">
        <f>F15+F16+F17</f>
        <v>80271.7</v>
      </c>
      <c r="G14" s="26">
        <f>F14*0.98</f>
        <v>78666.265999999989</v>
      </c>
      <c r="H14" s="26">
        <v>82835.578097999984</v>
      </c>
      <c r="I14" s="26">
        <v>87800</v>
      </c>
      <c r="J14" s="26">
        <v>106747</v>
      </c>
      <c r="K14" s="26">
        <f>K15+K16+K17</f>
        <v>108442</v>
      </c>
      <c r="L14" s="26">
        <f>L15+L16+L17</f>
        <v>110612</v>
      </c>
      <c r="M14" s="39">
        <f>M15+M16+M17</f>
        <v>111718</v>
      </c>
      <c r="N14" s="26">
        <f>N15+N16+N17</f>
        <v>112835.18000000001</v>
      </c>
      <c r="O14" s="26">
        <f t="shared" ref="O14:S14" si="1">O15+O16+O17</f>
        <v>112835.18000000001</v>
      </c>
      <c r="P14" s="26">
        <f t="shared" si="1"/>
        <v>113060.85036000001</v>
      </c>
      <c r="Q14" s="26">
        <f t="shared" si="1"/>
        <v>113060.85036000001</v>
      </c>
      <c r="R14" s="26">
        <f t="shared" si="1"/>
        <v>113286.97206072001</v>
      </c>
      <c r="S14" s="27">
        <f t="shared" si="1"/>
        <v>113286.97206072001</v>
      </c>
    </row>
    <row r="15" spans="1:22" s="28" customFormat="1" ht="15.6" x14ac:dyDescent="0.25">
      <c r="A15" s="31"/>
      <c r="B15" s="32" t="s">
        <v>32</v>
      </c>
      <c r="C15" s="25" t="s">
        <v>27</v>
      </c>
      <c r="D15" s="33">
        <v>58626</v>
      </c>
      <c r="E15" s="33">
        <v>66960</v>
      </c>
      <c r="F15" s="33">
        <v>54204</v>
      </c>
      <c r="G15" s="26">
        <f>F15*1.1</f>
        <v>59624.4</v>
      </c>
      <c r="H15" s="26">
        <v>62784.493199999997</v>
      </c>
      <c r="I15" s="26">
        <v>58000</v>
      </c>
      <c r="J15" s="26">
        <v>72054.7</v>
      </c>
      <c r="K15" s="26">
        <v>74049</v>
      </c>
      <c r="L15" s="26">
        <v>75530</v>
      </c>
      <c r="M15" s="39">
        <f>76285/12*12</f>
        <v>76285</v>
      </c>
      <c r="N15" s="26">
        <f>M15*101%</f>
        <v>77047.850000000006</v>
      </c>
      <c r="O15" s="26">
        <f>M15*101%</f>
        <v>77047.850000000006</v>
      </c>
      <c r="P15" s="26">
        <f t="shared" ref="P15:S17" si="2">N15*100.2%</f>
        <v>77201.945700000011</v>
      </c>
      <c r="Q15" s="26">
        <f t="shared" si="2"/>
        <v>77201.945700000011</v>
      </c>
      <c r="R15" s="26">
        <f t="shared" si="2"/>
        <v>77356.349591400009</v>
      </c>
      <c r="S15" s="27">
        <f t="shared" si="2"/>
        <v>77356.349591400009</v>
      </c>
    </row>
    <row r="16" spans="1:22" s="28" customFormat="1" ht="15.6" x14ac:dyDescent="0.25">
      <c r="A16" s="31"/>
      <c r="B16" s="32" t="s">
        <v>33</v>
      </c>
      <c r="C16" s="25" t="s">
        <v>27</v>
      </c>
      <c r="D16" s="33">
        <v>13797</v>
      </c>
      <c r="E16" s="33">
        <v>13523</v>
      </c>
      <c r="F16" s="33">
        <v>13058.7</v>
      </c>
      <c r="G16" s="26">
        <f>F16*1.07</f>
        <v>13972.809000000001</v>
      </c>
      <c r="H16" s="26">
        <v>14713.367877000001</v>
      </c>
      <c r="I16" s="26">
        <v>14950</v>
      </c>
      <c r="J16" s="26">
        <f>355.1*72.22</f>
        <v>25645.322</v>
      </c>
      <c r="K16" s="26">
        <v>25563</v>
      </c>
      <c r="L16" s="26">
        <v>26075</v>
      </c>
      <c r="M16" s="39">
        <f>26336/12*12</f>
        <v>26336</v>
      </c>
      <c r="N16" s="26">
        <f>M16*101%</f>
        <v>26599.360000000001</v>
      </c>
      <c r="O16" s="26">
        <f>M16*101%</f>
        <v>26599.360000000001</v>
      </c>
      <c r="P16" s="26">
        <f t="shared" si="2"/>
        <v>26652.558720000001</v>
      </c>
      <c r="Q16" s="26">
        <f t="shared" si="2"/>
        <v>26652.558720000001</v>
      </c>
      <c r="R16" s="26">
        <f t="shared" si="2"/>
        <v>26705.86383744</v>
      </c>
      <c r="S16" s="27">
        <f t="shared" si="2"/>
        <v>26705.86383744</v>
      </c>
    </row>
    <row r="17" spans="1:19" s="28" customFormat="1" ht="15.6" x14ac:dyDescent="0.25">
      <c r="A17" s="31"/>
      <c r="B17" s="32" t="s">
        <v>34</v>
      </c>
      <c r="C17" s="25" t="s">
        <v>27</v>
      </c>
      <c r="D17" s="33">
        <v>11505</v>
      </c>
      <c r="E17" s="33">
        <v>11276</v>
      </c>
      <c r="F17" s="33">
        <v>13009</v>
      </c>
      <c r="G17" s="26">
        <f>F17*1.07</f>
        <v>13919.630000000001</v>
      </c>
      <c r="H17" s="26">
        <v>14657.37039</v>
      </c>
      <c r="I17" s="26">
        <v>14850</v>
      </c>
      <c r="J17" s="26">
        <f>53.2*161.64</f>
        <v>8599.2479999999996</v>
      </c>
      <c r="K17" s="26">
        <v>8830</v>
      </c>
      <c r="L17" s="26">
        <v>9007</v>
      </c>
      <c r="M17" s="39">
        <f>9097/12*12</f>
        <v>9097</v>
      </c>
      <c r="N17" s="26">
        <f>M17*101%</f>
        <v>9187.9699999999993</v>
      </c>
      <c r="O17" s="26">
        <f>M17*101%</f>
        <v>9187.9699999999993</v>
      </c>
      <c r="P17" s="26">
        <f t="shared" si="2"/>
        <v>9206.3459399999992</v>
      </c>
      <c r="Q17" s="26">
        <f t="shared" si="2"/>
        <v>9206.3459399999992</v>
      </c>
      <c r="R17" s="26">
        <f t="shared" si="2"/>
        <v>9224.7586318799986</v>
      </c>
      <c r="S17" s="27">
        <f t="shared" si="2"/>
        <v>9224.7586318799986</v>
      </c>
    </row>
    <row r="18" spans="1:19" s="28" customFormat="1" ht="15.6" x14ac:dyDescent="0.25">
      <c r="A18" s="23" t="s">
        <v>35</v>
      </c>
      <c r="B18" s="30" t="s">
        <v>36</v>
      </c>
      <c r="C18" s="25" t="s">
        <v>27</v>
      </c>
      <c r="D18" s="34">
        <v>6188.52</v>
      </c>
      <c r="E18" s="34">
        <v>7680</v>
      </c>
      <c r="F18" s="34">
        <v>7680</v>
      </c>
      <c r="G18" s="26">
        <v>8432.6</v>
      </c>
      <c r="H18" s="26">
        <v>7646.2080000000005</v>
      </c>
      <c r="I18" s="35">
        <v>7890</v>
      </c>
      <c r="J18" s="35">
        <f>J28*38</f>
        <v>4715.8</v>
      </c>
      <c r="K18" s="36">
        <v>4904.45</v>
      </c>
      <c r="L18" s="36">
        <v>0</v>
      </c>
      <c r="M18" s="105">
        <v>0</v>
      </c>
      <c r="N18" s="36">
        <f>M18*101%</f>
        <v>0</v>
      </c>
      <c r="O18" s="36">
        <f>M18*100%</f>
        <v>0</v>
      </c>
      <c r="P18" s="36">
        <f>N18*100.3%</f>
        <v>0</v>
      </c>
      <c r="Q18" s="36">
        <f>O18*100.1%</f>
        <v>0</v>
      </c>
      <c r="R18" s="36">
        <f>P18*100.2%</f>
        <v>0</v>
      </c>
      <c r="S18" s="37">
        <f>Q18*100.1%</f>
        <v>0</v>
      </c>
    </row>
    <row r="19" spans="1:19" s="28" customFormat="1" ht="15.6" x14ac:dyDescent="0.25">
      <c r="A19" s="38" t="s">
        <v>37</v>
      </c>
      <c r="B19" s="30" t="s">
        <v>38</v>
      </c>
      <c r="C19" s="25" t="s">
        <v>27</v>
      </c>
      <c r="D19" s="33">
        <v>852084</v>
      </c>
      <c r="E19" s="33">
        <v>835041</v>
      </c>
      <c r="F19" s="33">
        <v>891415</v>
      </c>
      <c r="G19" s="26">
        <v>893112</v>
      </c>
      <c r="H19" s="26">
        <v>971815.80599999998</v>
      </c>
      <c r="I19" s="36">
        <v>988960</v>
      </c>
      <c r="J19" s="36">
        <v>1695233</v>
      </c>
      <c r="K19" s="26">
        <v>1628714</v>
      </c>
      <c r="L19" s="116">
        <v>1640660</v>
      </c>
      <c r="M19" s="39">
        <v>3297631</v>
      </c>
      <c r="N19" s="36">
        <f>M19*110%</f>
        <v>3627394.1</v>
      </c>
      <c r="O19" s="26">
        <f>M19*108%</f>
        <v>3561441.4800000004</v>
      </c>
      <c r="P19" s="26">
        <f>N19*100.3%</f>
        <v>3638276.2822999996</v>
      </c>
      <c r="Q19" s="26">
        <f>O19*103%</f>
        <v>3668284.7244000006</v>
      </c>
      <c r="R19" s="26">
        <f t="shared" ref="R19:S21" si="3">P19*101%</f>
        <v>3674659.0451229997</v>
      </c>
      <c r="S19" s="27">
        <f t="shared" si="3"/>
        <v>3704967.5716440007</v>
      </c>
    </row>
    <row r="20" spans="1:19" s="28" customFormat="1" ht="15.6" x14ac:dyDescent="0.25">
      <c r="A20" s="38" t="s">
        <v>39</v>
      </c>
      <c r="B20" s="32" t="s">
        <v>40</v>
      </c>
      <c r="C20" s="25" t="s">
        <v>27</v>
      </c>
      <c r="D20" s="33">
        <v>7958</v>
      </c>
      <c r="E20" s="33">
        <v>64624</v>
      </c>
      <c r="F20" s="33">
        <v>64624</v>
      </c>
      <c r="G20" s="26">
        <v>65916.5</v>
      </c>
      <c r="H20" s="26">
        <v>66018.887999999992</v>
      </c>
      <c r="I20" s="36">
        <v>61400</v>
      </c>
      <c r="J20" s="36">
        <v>66523</v>
      </c>
      <c r="K20" s="26">
        <v>67855</v>
      </c>
      <c r="L20" s="26">
        <v>70050</v>
      </c>
      <c r="M20" s="39">
        <f>70050/12*12</f>
        <v>70050</v>
      </c>
      <c r="N20" s="36">
        <f>M20*102%</f>
        <v>71451</v>
      </c>
      <c r="O20" s="26">
        <f>M20*1</f>
        <v>70050</v>
      </c>
      <c r="P20" s="26">
        <f>N20*101%</f>
        <v>72165.509999999995</v>
      </c>
      <c r="Q20" s="26">
        <f>O20*101%</f>
        <v>70750.5</v>
      </c>
      <c r="R20" s="26">
        <f t="shared" si="3"/>
        <v>72887.165099999998</v>
      </c>
      <c r="S20" s="27">
        <f t="shared" si="3"/>
        <v>71458.005000000005</v>
      </c>
    </row>
    <row r="21" spans="1:19" s="28" customFormat="1" ht="15.6" x14ac:dyDescent="0.25">
      <c r="A21" s="38" t="s">
        <v>41</v>
      </c>
      <c r="B21" s="32" t="s">
        <v>42</v>
      </c>
      <c r="C21" s="25" t="s">
        <v>27</v>
      </c>
      <c r="D21" s="33">
        <v>31911.84</v>
      </c>
      <c r="E21" s="33">
        <v>31275</v>
      </c>
      <c r="F21" s="33">
        <v>31275</v>
      </c>
      <c r="G21" s="26">
        <v>34371.199999999997</v>
      </c>
      <c r="H21" s="26">
        <v>32273.923499999997</v>
      </c>
      <c r="I21" s="36">
        <v>31250</v>
      </c>
      <c r="J21" s="36">
        <v>29105</v>
      </c>
      <c r="K21" s="26">
        <v>26519</v>
      </c>
      <c r="L21" s="26">
        <v>26254</v>
      </c>
      <c r="M21" s="39">
        <f>26258/12*12</f>
        <v>26258</v>
      </c>
      <c r="N21" s="36">
        <f>M21*102%</f>
        <v>26783.16</v>
      </c>
      <c r="O21" s="26">
        <f>M21*1</f>
        <v>26258</v>
      </c>
      <c r="P21" s="26">
        <f>N21*101%</f>
        <v>27050.991600000001</v>
      </c>
      <c r="Q21" s="26">
        <f>O21*101%</f>
        <v>26520.58</v>
      </c>
      <c r="R21" s="26">
        <f t="shared" si="3"/>
        <v>27321.501516</v>
      </c>
      <c r="S21" s="27">
        <f t="shared" si="3"/>
        <v>26785.785800000001</v>
      </c>
    </row>
    <row r="22" spans="1:19" s="28" customFormat="1" ht="15.6" customHeight="1" outlineLevel="1" x14ac:dyDescent="0.25">
      <c r="A22" s="38" t="s">
        <v>43</v>
      </c>
      <c r="B22" s="117" t="s">
        <v>158</v>
      </c>
      <c r="C22" s="25" t="s">
        <v>27</v>
      </c>
      <c r="D22" s="33"/>
      <c r="E22" s="33">
        <v>149067</v>
      </c>
      <c r="F22" s="33">
        <v>149100</v>
      </c>
      <c r="G22" s="26">
        <f>F22*1.3</f>
        <v>193830</v>
      </c>
      <c r="H22" s="26">
        <v>105600</v>
      </c>
      <c r="I22" s="26">
        <v>0</v>
      </c>
      <c r="J22" s="26">
        <v>0</v>
      </c>
      <c r="K22" s="26"/>
      <c r="L22" s="26"/>
      <c r="M22" s="119">
        <v>145787.69</v>
      </c>
      <c r="N22" s="39">
        <v>0</v>
      </c>
      <c r="O22" s="39">
        <v>0</v>
      </c>
      <c r="P22" s="39">
        <f t="shared" ref="P22:P33" si="4">N22*1.015</f>
        <v>0</v>
      </c>
      <c r="Q22" s="39">
        <f t="shared" ref="Q22" si="5">O22*1.02</f>
        <v>0</v>
      </c>
      <c r="R22" s="39">
        <f t="shared" ref="R22:S23" si="6">P22*1.017</f>
        <v>0</v>
      </c>
      <c r="S22" s="40">
        <f t="shared" si="6"/>
        <v>0</v>
      </c>
    </row>
    <row r="23" spans="1:19" s="28" customFormat="1" ht="15.6" customHeight="1" outlineLevel="1" x14ac:dyDescent="0.25">
      <c r="A23" s="38" t="s">
        <v>43</v>
      </c>
      <c r="B23" s="32" t="s">
        <v>159</v>
      </c>
      <c r="C23" s="25" t="s">
        <v>27</v>
      </c>
      <c r="D23" s="33"/>
      <c r="E23" s="33"/>
      <c r="F23" s="33"/>
      <c r="G23" s="26"/>
      <c r="H23" s="26"/>
      <c r="I23" s="26"/>
      <c r="J23" s="26">
        <v>56936</v>
      </c>
      <c r="K23" s="26">
        <v>0</v>
      </c>
      <c r="L23" s="26"/>
      <c r="M23" s="39">
        <v>427502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40">
        <f t="shared" si="6"/>
        <v>0</v>
      </c>
    </row>
    <row r="24" spans="1:19" s="28" customFormat="1" ht="14.4" customHeight="1" x14ac:dyDescent="0.25">
      <c r="A24" s="38" t="s">
        <v>43</v>
      </c>
      <c r="B24" s="32" t="s">
        <v>46</v>
      </c>
      <c r="C24" s="25" t="s">
        <v>27</v>
      </c>
      <c r="D24" s="33"/>
      <c r="E24" s="33"/>
      <c r="F24" s="33"/>
      <c r="G24" s="26"/>
      <c r="H24" s="26"/>
      <c r="I24" s="26"/>
      <c r="J24" s="26">
        <v>101934</v>
      </c>
      <c r="K24" s="26">
        <v>48300</v>
      </c>
      <c r="L24" s="26">
        <v>20130</v>
      </c>
      <c r="M24" s="39">
        <f>18300/12*12</f>
        <v>18300</v>
      </c>
      <c r="N24" s="26">
        <f>M24*101%</f>
        <v>18483</v>
      </c>
      <c r="O24" s="26">
        <f>M24*0.98</f>
        <v>17934</v>
      </c>
      <c r="P24" s="26">
        <f>N24*1</f>
        <v>18483</v>
      </c>
      <c r="Q24" s="26">
        <f>O24*1</f>
        <v>17934</v>
      </c>
      <c r="R24" s="26">
        <f>P24*1</f>
        <v>18483</v>
      </c>
      <c r="S24" s="27">
        <f>Q24*1</f>
        <v>17934</v>
      </c>
    </row>
    <row r="25" spans="1:19" s="28" customFormat="1" ht="46.8" x14ac:dyDescent="0.25">
      <c r="A25" s="23" t="s">
        <v>49</v>
      </c>
      <c r="B25" s="30" t="s">
        <v>50</v>
      </c>
      <c r="C25" s="25" t="s">
        <v>51</v>
      </c>
      <c r="D25" s="26"/>
      <c r="E25" s="26"/>
      <c r="F25" s="26"/>
      <c r="G25" s="26"/>
      <c r="H25" s="26"/>
      <c r="I25" s="26"/>
      <c r="J25" s="26"/>
      <c r="K25" s="26"/>
      <c r="L25" s="26"/>
      <c r="M25" s="39"/>
      <c r="N25" s="39"/>
      <c r="O25" s="39"/>
      <c r="P25" s="39"/>
      <c r="Q25" s="39"/>
      <c r="R25" s="39"/>
      <c r="S25" s="40"/>
    </row>
    <row r="26" spans="1:19" s="28" customFormat="1" ht="15.6" x14ac:dyDescent="0.25">
      <c r="A26" s="23"/>
      <c r="B26" s="30" t="s">
        <v>52</v>
      </c>
      <c r="C26" s="25" t="s">
        <v>53</v>
      </c>
      <c r="D26" s="29">
        <f>50.8*1.011</f>
        <v>51.358799999999995</v>
      </c>
      <c r="E26" s="29">
        <v>47.75</v>
      </c>
      <c r="F26" s="29">
        <v>45.3</v>
      </c>
      <c r="G26" s="29">
        <f>F26*0.98</f>
        <v>44.393999999999998</v>
      </c>
      <c r="H26" s="29">
        <v>45.104303999999999</v>
      </c>
      <c r="I26" s="29">
        <v>42.8</v>
      </c>
      <c r="J26" s="29">
        <v>42.5</v>
      </c>
      <c r="K26" s="46">
        <v>43.2</v>
      </c>
      <c r="L26" s="46">
        <v>43.3</v>
      </c>
      <c r="M26" s="106">
        <f>43.3/12*12</f>
        <v>43.3</v>
      </c>
      <c r="N26" s="29">
        <f>M26*100%</f>
        <v>43.3</v>
      </c>
      <c r="O26" s="46">
        <f>M26*99%</f>
        <v>42.866999999999997</v>
      </c>
      <c r="P26" s="29">
        <f>N26*100.1%</f>
        <v>43.343299999999992</v>
      </c>
      <c r="Q26" s="29">
        <f>O26*99%</f>
        <v>42.438329999999993</v>
      </c>
      <c r="R26" s="29">
        <f>P26*100.1%</f>
        <v>43.386643299999989</v>
      </c>
      <c r="S26" s="47">
        <f>Q26*99%</f>
        <v>42.013946699999991</v>
      </c>
    </row>
    <row r="27" spans="1:19" s="28" customFormat="1" ht="15.6" x14ac:dyDescent="0.25">
      <c r="A27" s="23"/>
      <c r="B27" s="30" t="s">
        <v>54</v>
      </c>
      <c r="C27" s="25" t="s">
        <v>55</v>
      </c>
      <c r="D27" s="26">
        <v>523.5</v>
      </c>
      <c r="E27" s="29">
        <v>429</v>
      </c>
      <c r="F27" s="29">
        <v>510.7</v>
      </c>
      <c r="G27" s="29">
        <f>F27*0.98</f>
        <v>500.48599999999999</v>
      </c>
      <c r="H27" s="29">
        <v>508.49377600000003</v>
      </c>
      <c r="I27" s="29">
        <v>505.6</v>
      </c>
      <c r="J27" s="29">
        <v>408.3</v>
      </c>
      <c r="K27" s="46">
        <v>401</v>
      </c>
      <c r="L27" s="46">
        <v>409.6</v>
      </c>
      <c r="M27" s="106">
        <f>409.6/12*12</f>
        <v>409.6</v>
      </c>
      <c r="N27" s="29">
        <f t="shared" ref="N27:N31" si="7">M27*102%</f>
        <v>417.79200000000003</v>
      </c>
      <c r="O27" s="46">
        <f>M27*101%</f>
        <v>413.69600000000003</v>
      </c>
      <c r="P27" s="29">
        <f t="shared" ref="P27:S27" si="8">N27*100.2%</f>
        <v>418.62758400000001</v>
      </c>
      <c r="Q27" s="29">
        <f t="shared" si="8"/>
        <v>414.523392</v>
      </c>
      <c r="R27" s="29">
        <f t="shared" si="8"/>
        <v>419.46483916800003</v>
      </c>
      <c r="S27" s="47">
        <f t="shared" si="8"/>
        <v>415.35243878400001</v>
      </c>
    </row>
    <row r="28" spans="1:19" s="28" customFormat="1" ht="15.6" x14ac:dyDescent="0.25">
      <c r="A28" s="48" t="s">
        <v>56</v>
      </c>
      <c r="B28" s="30" t="s">
        <v>57</v>
      </c>
      <c r="C28" s="25" t="s">
        <v>58</v>
      </c>
      <c r="D28" s="42">
        <v>213.4</v>
      </c>
      <c r="E28" s="42">
        <v>213.3</v>
      </c>
      <c r="F28" s="42">
        <v>214</v>
      </c>
      <c r="G28" s="42">
        <f>F28*1.1</f>
        <v>235.4</v>
      </c>
      <c r="H28" s="42">
        <v>246.69920000000002</v>
      </c>
      <c r="I28" s="49">
        <v>225.3</v>
      </c>
      <c r="J28" s="49">
        <v>124.1</v>
      </c>
      <c r="K28" s="42">
        <v>125.3</v>
      </c>
      <c r="L28" s="42">
        <v>0</v>
      </c>
      <c r="M28" s="107">
        <v>0</v>
      </c>
      <c r="N28" s="49">
        <f t="shared" si="7"/>
        <v>0</v>
      </c>
      <c r="O28" s="42">
        <f>M28*1</f>
        <v>0</v>
      </c>
      <c r="P28" s="42">
        <f>N28*1.005</f>
        <v>0</v>
      </c>
      <c r="Q28" s="42">
        <f>O28*1.005</f>
        <v>0</v>
      </c>
      <c r="R28" s="42">
        <f>P28*1.006</f>
        <v>0</v>
      </c>
      <c r="S28" s="50">
        <f>Q28*1.006</f>
        <v>0</v>
      </c>
    </row>
    <row r="29" spans="1:19" s="28" customFormat="1" ht="15.6" x14ac:dyDescent="0.25">
      <c r="A29" s="23" t="s">
        <v>59</v>
      </c>
      <c r="B29" s="30" t="s">
        <v>38</v>
      </c>
      <c r="C29" s="25" t="s">
        <v>60</v>
      </c>
      <c r="D29" s="26">
        <v>1298</v>
      </c>
      <c r="E29" s="26">
        <v>1297</v>
      </c>
      <c r="F29" s="26">
        <v>1328</v>
      </c>
      <c r="G29" s="26">
        <f>F29*1.1</f>
        <v>1460.8000000000002</v>
      </c>
      <c r="H29" s="26">
        <v>1538.2224000000001</v>
      </c>
      <c r="I29" s="26">
        <v>1519</v>
      </c>
      <c r="J29" s="26">
        <v>2401</v>
      </c>
      <c r="K29" s="26">
        <v>2307</v>
      </c>
      <c r="L29" s="116">
        <v>2526</v>
      </c>
      <c r="M29" s="39">
        <v>2238</v>
      </c>
      <c r="N29" s="26">
        <f t="shared" si="7"/>
        <v>2282.7600000000002</v>
      </c>
      <c r="O29" s="26">
        <f>M29*1</f>
        <v>2238</v>
      </c>
      <c r="P29" s="26">
        <f t="shared" ref="P29:S31" si="9">N29*101%</f>
        <v>2305.5876000000003</v>
      </c>
      <c r="Q29" s="26">
        <f t="shared" si="9"/>
        <v>2260.38</v>
      </c>
      <c r="R29" s="26">
        <f t="shared" si="9"/>
        <v>2328.6434760000002</v>
      </c>
      <c r="S29" s="27">
        <f t="shared" si="9"/>
        <v>2282.9838</v>
      </c>
    </row>
    <row r="30" spans="1:19" s="28" customFormat="1" ht="15.6" x14ac:dyDescent="0.25">
      <c r="A30" s="23" t="s">
        <v>61</v>
      </c>
      <c r="B30" s="32" t="s">
        <v>40</v>
      </c>
      <c r="C30" s="25" t="s">
        <v>62</v>
      </c>
      <c r="D30" s="26">
        <v>20041</v>
      </c>
      <c r="E30" s="26">
        <v>41821</v>
      </c>
      <c r="F30" s="26">
        <v>43524</v>
      </c>
      <c r="G30" s="26">
        <v>44120</v>
      </c>
      <c r="H30" s="26">
        <v>50413.849199999997</v>
      </c>
      <c r="I30" s="26">
        <v>50799</v>
      </c>
      <c r="J30" s="26">
        <v>49952</v>
      </c>
      <c r="K30" s="26">
        <v>50951</v>
      </c>
      <c r="L30" s="26">
        <v>51000</v>
      </c>
      <c r="M30" s="39">
        <f>51000/12*12</f>
        <v>51000</v>
      </c>
      <c r="N30" s="26">
        <f t="shared" si="7"/>
        <v>52020</v>
      </c>
      <c r="O30" s="26">
        <f>M30*1</f>
        <v>51000</v>
      </c>
      <c r="P30" s="26">
        <f t="shared" si="9"/>
        <v>52540.2</v>
      </c>
      <c r="Q30" s="26">
        <f t="shared" si="9"/>
        <v>51510</v>
      </c>
      <c r="R30" s="26">
        <f t="shared" si="9"/>
        <v>53065.601999999999</v>
      </c>
      <c r="S30" s="27">
        <f t="shared" si="9"/>
        <v>52025.1</v>
      </c>
    </row>
    <row r="31" spans="1:19" s="28" customFormat="1" ht="15.6" x14ac:dyDescent="0.25">
      <c r="A31" s="23" t="s">
        <v>63</v>
      </c>
      <c r="B31" s="32" t="s">
        <v>42</v>
      </c>
      <c r="C31" s="25" t="s">
        <v>60</v>
      </c>
      <c r="D31" s="26">
        <v>500</v>
      </c>
      <c r="E31" s="26">
        <v>491</v>
      </c>
      <c r="F31" s="26">
        <v>513</v>
      </c>
      <c r="G31" s="26">
        <f>F31*1.1</f>
        <v>564.30000000000007</v>
      </c>
      <c r="H31" s="26">
        <v>594.2079</v>
      </c>
      <c r="I31" s="26">
        <v>598</v>
      </c>
      <c r="J31" s="26">
        <v>528</v>
      </c>
      <c r="K31" s="26">
        <v>481</v>
      </c>
      <c r="L31" s="26">
        <v>515</v>
      </c>
      <c r="M31" s="39">
        <f>495/12*12</f>
        <v>495</v>
      </c>
      <c r="N31" s="26">
        <f t="shared" si="7"/>
        <v>504.90000000000003</v>
      </c>
      <c r="O31" s="26">
        <f>M31*1</f>
        <v>495</v>
      </c>
      <c r="P31" s="26">
        <f t="shared" si="9"/>
        <v>509.94900000000001</v>
      </c>
      <c r="Q31" s="26">
        <f t="shared" si="9"/>
        <v>499.95</v>
      </c>
      <c r="R31" s="26">
        <f t="shared" si="9"/>
        <v>515.04849000000002</v>
      </c>
      <c r="S31" s="27">
        <f t="shared" si="9"/>
        <v>504.9495</v>
      </c>
    </row>
    <row r="32" spans="1:19" s="28" customFormat="1" ht="15.6" x14ac:dyDescent="0.25">
      <c r="A32" s="23" t="s">
        <v>64</v>
      </c>
      <c r="B32" s="117" t="s">
        <v>158</v>
      </c>
      <c r="C32" s="25" t="s">
        <v>160</v>
      </c>
      <c r="D32" s="26"/>
      <c r="E32" s="26"/>
      <c r="F32" s="26"/>
      <c r="G32" s="26"/>
      <c r="H32" s="26"/>
      <c r="I32" s="26"/>
      <c r="J32" s="26"/>
      <c r="K32" s="26"/>
      <c r="L32" s="26"/>
      <c r="M32" s="119">
        <v>59892</v>
      </c>
      <c r="N32" s="26"/>
      <c r="O32" s="26"/>
      <c r="P32" s="26"/>
      <c r="Q32" s="26"/>
      <c r="R32" s="26"/>
      <c r="S32" s="27"/>
    </row>
    <row r="33" spans="1:19" s="28" customFormat="1" ht="15.6" customHeight="1" x14ac:dyDescent="0.25">
      <c r="A33" s="23" t="s">
        <v>161</v>
      </c>
      <c r="B33" s="41" t="s">
        <v>162</v>
      </c>
      <c r="C33" s="25" t="s">
        <v>163</v>
      </c>
      <c r="D33" s="34">
        <v>0.05</v>
      </c>
      <c r="E33" s="34">
        <v>0.06</v>
      </c>
      <c r="F33" s="34">
        <v>7.0000000000000007E-2</v>
      </c>
      <c r="G33" s="34">
        <v>0.1</v>
      </c>
      <c r="H33" s="34">
        <v>0</v>
      </c>
      <c r="I33" s="34">
        <v>0</v>
      </c>
      <c r="J33" s="34">
        <v>0</v>
      </c>
      <c r="K33" s="34"/>
      <c r="L33" s="34"/>
      <c r="M33" s="51">
        <v>587.38400000000001</v>
      </c>
      <c r="N33" s="51">
        <v>0</v>
      </c>
      <c r="O33" s="51">
        <v>0.12</v>
      </c>
      <c r="P33" s="51">
        <f t="shared" si="4"/>
        <v>0</v>
      </c>
      <c r="Q33" s="51">
        <f t="shared" ref="Q33" si="10">O33*1.02</f>
        <v>0.12239999999999999</v>
      </c>
      <c r="R33" s="51">
        <f t="shared" ref="R33:S33" si="11">P33*1.017</f>
        <v>0</v>
      </c>
      <c r="S33" s="52">
        <f t="shared" si="11"/>
        <v>0.12448079999999999</v>
      </c>
    </row>
    <row r="34" spans="1:19" s="28" customFormat="1" ht="31.2" x14ac:dyDescent="0.25">
      <c r="A34" s="53" t="s">
        <v>66</v>
      </c>
      <c r="B34" s="54" t="s">
        <v>67</v>
      </c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39"/>
      <c r="N34" s="39"/>
      <c r="O34" s="39"/>
      <c r="P34" s="39"/>
      <c r="Q34" s="39"/>
      <c r="R34" s="39"/>
      <c r="S34" s="40"/>
    </row>
    <row r="35" spans="1:19" s="28" customFormat="1" ht="46.8" x14ac:dyDescent="0.25">
      <c r="A35" s="23" t="s">
        <v>25</v>
      </c>
      <c r="B35" s="30" t="s">
        <v>68</v>
      </c>
      <c r="C35" s="25" t="s">
        <v>51</v>
      </c>
      <c r="D35" s="26"/>
      <c r="E35" s="26"/>
      <c r="F35" s="26"/>
      <c r="G35" s="26"/>
      <c r="H35" s="26"/>
      <c r="I35" s="26"/>
      <c r="J35" s="26"/>
      <c r="K35" s="26"/>
      <c r="L35" s="26"/>
      <c r="M35" s="39"/>
      <c r="N35" s="39"/>
      <c r="O35" s="39"/>
      <c r="P35" s="39"/>
      <c r="Q35" s="39"/>
      <c r="R35" s="39"/>
      <c r="S35" s="40"/>
    </row>
    <row r="36" spans="1:19" s="28" customFormat="1" ht="15.6" x14ac:dyDescent="0.25">
      <c r="A36" s="23"/>
      <c r="B36" s="30" t="s">
        <v>69</v>
      </c>
      <c r="C36" s="25" t="s">
        <v>70</v>
      </c>
      <c r="D36" s="34">
        <f>D39+D40+D42+D43+D45</f>
        <v>74.709999999999994</v>
      </c>
      <c r="E36" s="34">
        <v>67.5</v>
      </c>
      <c r="F36" s="34">
        <v>33.6</v>
      </c>
      <c r="G36" s="43">
        <f t="shared" ref="G36" si="12">G39+G40+G42+G43+G45</f>
        <v>15.7</v>
      </c>
      <c r="H36" s="34">
        <v>5.5019999999999998</v>
      </c>
      <c r="I36" s="34">
        <v>3</v>
      </c>
      <c r="J36" s="34">
        <v>4.01</v>
      </c>
      <c r="K36" s="34">
        <v>2.5</v>
      </c>
      <c r="L36" s="34">
        <v>0</v>
      </c>
      <c r="M36" s="51">
        <v>0</v>
      </c>
      <c r="N36" s="34">
        <f>M36*0.97</f>
        <v>0</v>
      </c>
      <c r="O36" s="34">
        <f>M36*0.95</f>
        <v>0</v>
      </c>
      <c r="P36" s="34">
        <f>N36*1</f>
        <v>0</v>
      </c>
      <c r="Q36" s="34">
        <f>O36*1</f>
        <v>0</v>
      </c>
      <c r="R36" s="34">
        <f>P36*1</f>
        <v>0</v>
      </c>
      <c r="S36" s="55">
        <f>Q36*1</f>
        <v>0</v>
      </c>
    </row>
    <row r="37" spans="1:19" s="28" customFormat="1" ht="15.6" hidden="1" customHeight="1" outlineLevel="1" x14ac:dyDescent="0.25">
      <c r="A37" s="23"/>
      <c r="B37" s="30" t="s">
        <v>71</v>
      </c>
      <c r="C37" s="25"/>
      <c r="D37" s="34">
        <f>D41</f>
        <v>3.25</v>
      </c>
      <c r="E37" s="34">
        <f>E41</f>
        <v>0</v>
      </c>
      <c r="F37" s="34">
        <f>F41</f>
        <v>0</v>
      </c>
      <c r="G37" s="43">
        <f>F37*0.95</f>
        <v>0</v>
      </c>
      <c r="H37" s="56">
        <v>0</v>
      </c>
      <c r="I37" s="56"/>
      <c r="J37" s="56"/>
      <c r="K37" s="56"/>
      <c r="L37" s="56"/>
      <c r="M37" s="57"/>
      <c r="N37" s="57"/>
      <c r="O37" s="57"/>
      <c r="P37" s="58">
        <f t="shared" ref="P37:P43" si="13">N37*1.015</f>
        <v>0</v>
      </c>
      <c r="Q37" s="58">
        <f t="shared" ref="Q37:Q43" si="14">O37*1.02</f>
        <v>0</v>
      </c>
      <c r="R37" s="58">
        <f t="shared" ref="R37:S43" si="15">P37*1.017</f>
        <v>0</v>
      </c>
      <c r="S37" s="59">
        <f t="shared" si="15"/>
        <v>0</v>
      </c>
    </row>
    <row r="38" spans="1:19" s="28" customFormat="1" ht="15.6" hidden="1" customHeight="1" outlineLevel="1" x14ac:dyDescent="0.25">
      <c r="A38" s="23"/>
      <c r="B38" s="30" t="s">
        <v>72</v>
      </c>
      <c r="C38" s="25" t="s">
        <v>73</v>
      </c>
      <c r="D38" s="56">
        <v>8.0000000000000002E-3</v>
      </c>
      <c r="E38" s="56">
        <v>5.0000000000000001E-3</v>
      </c>
      <c r="F38" s="56">
        <v>5.0000000000000001E-3</v>
      </c>
      <c r="G38" s="43">
        <f>F38*0.95</f>
        <v>4.7499999999999999E-3</v>
      </c>
      <c r="H38" s="56">
        <v>4.9779999999999998E-3</v>
      </c>
      <c r="I38" s="56"/>
      <c r="J38" s="56"/>
      <c r="K38" s="56"/>
      <c r="L38" s="56"/>
      <c r="M38" s="57"/>
      <c r="N38" s="57"/>
      <c r="O38" s="57"/>
      <c r="P38" s="58">
        <f t="shared" si="13"/>
        <v>0</v>
      </c>
      <c r="Q38" s="58">
        <f t="shared" si="14"/>
        <v>0</v>
      </c>
      <c r="R38" s="58">
        <f t="shared" si="15"/>
        <v>0</v>
      </c>
      <c r="S38" s="59">
        <f t="shared" si="15"/>
        <v>0</v>
      </c>
    </row>
    <row r="39" spans="1:19" s="28" customFormat="1" ht="15.6" hidden="1" customHeight="1" outlineLevel="1" x14ac:dyDescent="0.25">
      <c r="A39" s="31" t="s">
        <v>28</v>
      </c>
      <c r="B39" s="32" t="s">
        <v>74</v>
      </c>
      <c r="C39" s="60" t="s">
        <v>70</v>
      </c>
      <c r="D39" s="61">
        <v>10</v>
      </c>
      <c r="E39" s="61">
        <v>7.5</v>
      </c>
      <c r="F39" s="61">
        <v>7.5</v>
      </c>
      <c r="G39" s="43">
        <v>5.3</v>
      </c>
      <c r="H39" s="56">
        <v>5.5020000000000007</v>
      </c>
      <c r="I39" s="56">
        <v>3</v>
      </c>
      <c r="J39" s="56">
        <v>0</v>
      </c>
      <c r="K39" s="56"/>
      <c r="L39" s="56"/>
      <c r="M39" s="57">
        <v>0</v>
      </c>
      <c r="N39" s="57">
        <v>3</v>
      </c>
      <c r="O39" s="57">
        <v>0</v>
      </c>
      <c r="P39" s="58">
        <f t="shared" si="13"/>
        <v>3.0449999999999999</v>
      </c>
      <c r="Q39" s="58">
        <f t="shared" si="14"/>
        <v>0</v>
      </c>
      <c r="R39" s="58">
        <f t="shared" si="15"/>
        <v>3.0967649999999995</v>
      </c>
      <c r="S39" s="59">
        <f t="shared" si="15"/>
        <v>0</v>
      </c>
    </row>
    <row r="40" spans="1:19" s="28" customFormat="1" ht="15.6" hidden="1" customHeight="1" outlineLevel="1" x14ac:dyDescent="0.25">
      <c r="A40" s="31" t="s">
        <v>30</v>
      </c>
      <c r="B40" s="32" t="s">
        <v>75</v>
      </c>
      <c r="C40" s="60" t="s">
        <v>70</v>
      </c>
      <c r="D40" s="61">
        <v>6.5</v>
      </c>
      <c r="E40" s="61">
        <v>8.9</v>
      </c>
      <c r="F40" s="61">
        <v>3.3</v>
      </c>
      <c r="G40" s="43">
        <v>0</v>
      </c>
      <c r="H40" s="56">
        <v>0</v>
      </c>
      <c r="I40" s="56"/>
      <c r="J40" s="56"/>
      <c r="K40" s="56"/>
      <c r="L40" s="56"/>
      <c r="M40" s="57"/>
      <c r="N40" s="57"/>
      <c r="O40" s="57"/>
      <c r="P40" s="58">
        <f t="shared" si="13"/>
        <v>0</v>
      </c>
      <c r="Q40" s="58">
        <f t="shared" si="14"/>
        <v>0</v>
      </c>
      <c r="R40" s="58">
        <f t="shared" si="15"/>
        <v>0</v>
      </c>
      <c r="S40" s="59">
        <f t="shared" si="15"/>
        <v>0</v>
      </c>
    </row>
    <row r="41" spans="1:19" s="28" customFormat="1" ht="15.6" hidden="1" customHeight="1" outlineLevel="1" x14ac:dyDescent="0.25">
      <c r="A41" s="31"/>
      <c r="B41" s="32" t="s">
        <v>71</v>
      </c>
      <c r="C41" s="60" t="s">
        <v>70</v>
      </c>
      <c r="D41" s="61">
        <v>3.25</v>
      </c>
      <c r="E41" s="61">
        <v>0</v>
      </c>
      <c r="F41" s="61">
        <v>0</v>
      </c>
      <c r="G41" s="43">
        <f t="shared" ref="G41:G46" si="16">F41*0.95</f>
        <v>0</v>
      </c>
      <c r="H41" s="56">
        <v>0</v>
      </c>
      <c r="I41" s="56"/>
      <c r="J41" s="56"/>
      <c r="K41" s="56"/>
      <c r="L41" s="56"/>
      <c r="M41" s="57"/>
      <c r="N41" s="57"/>
      <c r="O41" s="57"/>
      <c r="P41" s="58">
        <f t="shared" si="13"/>
        <v>0</v>
      </c>
      <c r="Q41" s="58">
        <f t="shared" si="14"/>
        <v>0</v>
      </c>
      <c r="R41" s="58">
        <f t="shared" si="15"/>
        <v>0</v>
      </c>
      <c r="S41" s="59">
        <f t="shared" si="15"/>
        <v>0</v>
      </c>
    </row>
    <row r="42" spans="1:19" s="28" customFormat="1" ht="15.6" hidden="1" customHeight="1" outlineLevel="1" x14ac:dyDescent="0.25">
      <c r="A42" s="31" t="s">
        <v>30</v>
      </c>
      <c r="B42" s="32" t="s">
        <v>76</v>
      </c>
      <c r="C42" s="60" t="s">
        <v>70</v>
      </c>
      <c r="D42" s="61">
        <v>26.61</v>
      </c>
      <c r="E42" s="61">
        <v>32.9</v>
      </c>
      <c r="F42" s="61">
        <v>10.9</v>
      </c>
      <c r="G42" s="43">
        <v>10.4</v>
      </c>
      <c r="H42" s="56">
        <v>0</v>
      </c>
      <c r="I42" s="56">
        <v>0</v>
      </c>
      <c r="J42" s="56"/>
      <c r="K42" s="56"/>
      <c r="L42" s="56"/>
      <c r="M42" s="57">
        <v>0</v>
      </c>
      <c r="N42" s="57">
        <v>0</v>
      </c>
      <c r="O42" s="57">
        <v>0</v>
      </c>
      <c r="P42" s="58">
        <f t="shared" si="13"/>
        <v>0</v>
      </c>
      <c r="Q42" s="58">
        <f t="shared" si="14"/>
        <v>0</v>
      </c>
      <c r="R42" s="58">
        <f t="shared" si="15"/>
        <v>0</v>
      </c>
      <c r="S42" s="59">
        <f t="shared" si="15"/>
        <v>0</v>
      </c>
    </row>
    <row r="43" spans="1:19" s="28" customFormat="1" ht="15.6" hidden="1" customHeight="1" outlineLevel="1" x14ac:dyDescent="0.25">
      <c r="A43" s="31" t="s">
        <v>35</v>
      </c>
      <c r="B43" s="32" t="s">
        <v>77</v>
      </c>
      <c r="C43" s="60" t="s">
        <v>70</v>
      </c>
      <c r="D43" s="61">
        <v>26</v>
      </c>
      <c r="E43" s="61">
        <v>12.4</v>
      </c>
      <c r="F43" s="61">
        <v>0</v>
      </c>
      <c r="G43" s="43">
        <f t="shared" si="16"/>
        <v>0</v>
      </c>
      <c r="H43" s="56">
        <v>0</v>
      </c>
      <c r="I43" s="56">
        <v>0</v>
      </c>
      <c r="J43" s="56"/>
      <c r="K43" s="56"/>
      <c r="L43" s="56"/>
      <c r="M43" s="57">
        <v>0</v>
      </c>
      <c r="N43" s="57">
        <v>0</v>
      </c>
      <c r="O43" s="57">
        <v>0</v>
      </c>
      <c r="P43" s="58">
        <f t="shared" si="13"/>
        <v>0</v>
      </c>
      <c r="Q43" s="58">
        <f t="shared" si="14"/>
        <v>0</v>
      </c>
      <c r="R43" s="58">
        <f t="shared" si="15"/>
        <v>0</v>
      </c>
      <c r="S43" s="59">
        <f t="shared" si="15"/>
        <v>0</v>
      </c>
    </row>
    <row r="44" spans="1:19" s="28" customFormat="1" ht="15.6" hidden="1" customHeight="1" outlineLevel="1" x14ac:dyDescent="0.25">
      <c r="A44" s="31" t="s">
        <v>39</v>
      </c>
      <c r="B44" s="32" t="s">
        <v>78</v>
      </c>
      <c r="C44" s="60"/>
      <c r="D44" s="61"/>
      <c r="E44" s="61"/>
      <c r="F44" s="61"/>
      <c r="G44" s="43">
        <f t="shared" si="16"/>
        <v>0</v>
      </c>
      <c r="H44" s="56">
        <v>0</v>
      </c>
      <c r="I44" s="56"/>
      <c r="J44" s="56"/>
      <c r="K44" s="56"/>
      <c r="L44" s="56"/>
      <c r="M44" s="57"/>
      <c r="N44" s="57"/>
      <c r="O44" s="57"/>
      <c r="P44" s="58">
        <f t="shared" ref="P44:P46" si="17">Q44*0.98</f>
        <v>0</v>
      </c>
      <c r="Q44" s="58">
        <f>O44*1.043</f>
        <v>0</v>
      </c>
      <c r="R44" s="58">
        <f t="shared" ref="R44:R46" si="18">S44*0.98</f>
        <v>0</v>
      </c>
      <c r="S44" s="59">
        <f>Q44*1.043</f>
        <v>0</v>
      </c>
    </row>
    <row r="45" spans="1:19" s="28" customFormat="1" ht="15.6" hidden="1" customHeight="1" outlineLevel="1" x14ac:dyDescent="0.25">
      <c r="A45" s="31"/>
      <c r="B45" s="32" t="s">
        <v>79</v>
      </c>
      <c r="C45" s="60" t="s">
        <v>70</v>
      </c>
      <c r="D45" s="61">
        <v>5.6</v>
      </c>
      <c r="E45" s="61">
        <v>2.4</v>
      </c>
      <c r="F45" s="61">
        <v>0</v>
      </c>
      <c r="G45" s="43">
        <f t="shared" si="16"/>
        <v>0</v>
      </c>
      <c r="H45" s="56">
        <v>0</v>
      </c>
      <c r="I45" s="56"/>
      <c r="J45" s="56"/>
      <c r="K45" s="56"/>
      <c r="L45" s="56"/>
      <c r="M45" s="57"/>
      <c r="N45" s="57"/>
      <c r="O45" s="57"/>
      <c r="P45" s="58">
        <f t="shared" si="17"/>
        <v>0</v>
      </c>
      <c r="Q45" s="58">
        <f>O45*1.043</f>
        <v>0</v>
      </c>
      <c r="R45" s="58">
        <f t="shared" si="18"/>
        <v>0</v>
      </c>
      <c r="S45" s="59">
        <f>Q45*1.043</f>
        <v>0</v>
      </c>
    </row>
    <row r="46" spans="1:19" s="28" customFormat="1" ht="15.6" hidden="1" customHeight="1" outlineLevel="1" x14ac:dyDescent="0.25">
      <c r="A46" s="31"/>
      <c r="B46" s="32" t="s">
        <v>80</v>
      </c>
      <c r="C46" s="60" t="s">
        <v>73</v>
      </c>
      <c r="D46" s="62">
        <v>8.0000000000000002E-3</v>
      </c>
      <c r="E46" s="62">
        <v>2.3999999999999998E-3</v>
      </c>
      <c r="F46" s="62">
        <v>0</v>
      </c>
      <c r="G46" s="43">
        <f t="shared" si="16"/>
        <v>0</v>
      </c>
      <c r="H46" s="56">
        <v>0</v>
      </c>
      <c r="I46" s="56"/>
      <c r="J46" s="56"/>
      <c r="K46" s="56"/>
      <c r="L46" s="56"/>
      <c r="M46" s="57"/>
      <c r="N46" s="57"/>
      <c r="O46" s="57"/>
      <c r="P46" s="58">
        <f t="shared" si="17"/>
        <v>0</v>
      </c>
      <c r="Q46" s="58">
        <f>O46*1.043</f>
        <v>0</v>
      </c>
      <c r="R46" s="58">
        <f t="shared" si="18"/>
        <v>0</v>
      </c>
      <c r="S46" s="59">
        <f>Q46*1.043</f>
        <v>0</v>
      </c>
    </row>
    <row r="47" spans="1:19" s="28" customFormat="1" ht="15.6" collapsed="1" x14ac:dyDescent="0.25">
      <c r="A47" s="23" t="s">
        <v>49</v>
      </c>
      <c r="B47" s="30" t="s">
        <v>81</v>
      </c>
      <c r="C47" s="25" t="s">
        <v>27</v>
      </c>
      <c r="D47" s="34">
        <f t="shared" ref="D47:G47" si="19">D48+D52</f>
        <v>14062</v>
      </c>
      <c r="E47" s="34">
        <f t="shared" si="19"/>
        <v>11445.2</v>
      </c>
      <c r="F47" s="34">
        <f t="shared" si="19"/>
        <v>9483</v>
      </c>
      <c r="G47" s="29">
        <f t="shared" si="19"/>
        <v>10026.220000000001</v>
      </c>
      <c r="H47" s="34">
        <v>10507.478560000003</v>
      </c>
      <c r="I47" s="34">
        <f t="shared" ref="I47:S47" si="20">I48+I50+I51+I52</f>
        <v>10062</v>
      </c>
      <c r="J47" s="34">
        <f t="shared" si="20"/>
        <v>6119.5</v>
      </c>
      <c r="K47" s="34">
        <f t="shared" si="20"/>
        <v>5879.45</v>
      </c>
      <c r="L47" s="34">
        <f t="shared" si="20"/>
        <v>0</v>
      </c>
      <c r="M47" s="51">
        <f t="shared" si="20"/>
        <v>0</v>
      </c>
      <c r="N47" s="34">
        <f t="shared" si="20"/>
        <v>0</v>
      </c>
      <c r="O47" s="34">
        <f t="shared" si="20"/>
        <v>0</v>
      </c>
      <c r="P47" s="34">
        <f t="shared" si="20"/>
        <v>0</v>
      </c>
      <c r="Q47" s="34">
        <f t="shared" si="20"/>
        <v>0</v>
      </c>
      <c r="R47" s="34">
        <f t="shared" si="20"/>
        <v>0</v>
      </c>
      <c r="S47" s="55">
        <f t="shared" si="20"/>
        <v>0</v>
      </c>
    </row>
    <row r="48" spans="1:19" s="28" customFormat="1" ht="15.6" x14ac:dyDescent="0.25">
      <c r="A48" s="31"/>
      <c r="B48" s="32" t="s">
        <v>82</v>
      </c>
      <c r="C48" s="60" t="s">
        <v>27</v>
      </c>
      <c r="D48" s="61">
        <f>D49+D50+D51</f>
        <v>7873.48</v>
      </c>
      <c r="E48" s="61">
        <v>3765.2</v>
      </c>
      <c r="F48" s="61">
        <v>1350</v>
      </c>
      <c r="G48" s="42">
        <f t="shared" ref="G48:H48" si="21">G49+G51</f>
        <v>1079.92</v>
      </c>
      <c r="H48" s="61">
        <f t="shared" si="21"/>
        <v>1131.7561600000001</v>
      </c>
      <c r="I48" s="61">
        <f>I39*350</f>
        <v>1050</v>
      </c>
      <c r="J48" s="61">
        <f>J36*350</f>
        <v>1403.5</v>
      </c>
      <c r="K48" s="61">
        <f>K36*390</f>
        <v>975</v>
      </c>
      <c r="L48" s="61">
        <v>0</v>
      </c>
      <c r="M48" s="108">
        <v>0</v>
      </c>
      <c r="N48" s="61">
        <f>M48*0.97</f>
        <v>0</v>
      </c>
      <c r="O48" s="61">
        <f>M48*0.95</f>
        <v>0</v>
      </c>
      <c r="P48" s="61">
        <f>N48*1</f>
        <v>0</v>
      </c>
      <c r="Q48" s="61">
        <f>O48*0.98</f>
        <v>0</v>
      </c>
      <c r="R48" s="61">
        <f>P48*1</f>
        <v>0</v>
      </c>
      <c r="S48" s="63">
        <f>Q48*0.98</f>
        <v>0</v>
      </c>
    </row>
    <row r="49" spans="1:20" s="28" customFormat="1" ht="15.6" hidden="1" customHeight="1" outlineLevel="1" x14ac:dyDescent="0.25">
      <c r="A49" s="31"/>
      <c r="B49" s="32" t="s">
        <v>79</v>
      </c>
      <c r="C49" s="60" t="s">
        <v>27</v>
      </c>
      <c r="D49" s="61">
        <v>7751.24</v>
      </c>
      <c r="E49" s="61">
        <v>3758.3</v>
      </c>
      <c r="F49" s="61">
        <v>1346.7</v>
      </c>
      <c r="G49" s="42">
        <f>F49*0.8</f>
        <v>1077.3600000000001</v>
      </c>
      <c r="H49" s="61">
        <v>1129.0732800000001</v>
      </c>
      <c r="I49" s="61">
        <v>0</v>
      </c>
      <c r="J49" s="61"/>
      <c r="K49" s="61"/>
      <c r="L49" s="61"/>
      <c r="M49" s="108">
        <v>0</v>
      </c>
      <c r="N49" s="61">
        <v>0</v>
      </c>
      <c r="O49" s="61">
        <v>0</v>
      </c>
      <c r="P49" s="61">
        <f t="shared" ref="P49:P51" si="22">N49*1.015</f>
        <v>0</v>
      </c>
      <c r="Q49" s="61">
        <f t="shared" ref="Q49:Q51" si="23">O49*1.02</f>
        <v>0</v>
      </c>
      <c r="R49" s="61">
        <f t="shared" ref="R49:S51" si="24">P49*1.017</f>
        <v>0</v>
      </c>
      <c r="S49" s="63">
        <f t="shared" si="24"/>
        <v>0</v>
      </c>
    </row>
    <row r="50" spans="1:20" s="28" customFormat="1" ht="15.6" hidden="1" customHeight="1" outlineLevel="1" x14ac:dyDescent="0.25">
      <c r="A50" s="31"/>
      <c r="B50" s="32" t="s">
        <v>71</v>
      </c>
      <c r="C50" s="60"/>
      <c r="D50" s="61">
        <v>92.63</v>
      </c>
      <c r="E50" s="61">
        <v>0</v>
      </c>
      <c r="F50" s="61">
        <v>0</v>
      </c>
      <c r="G50" s="42">
        <f>F50*0.95</f>
        <v>0</v>
      </c>
      <c r="H50" s="61">
        <v>0</v>
      </c>
      <c r="I50" s="61">
        <v>0</v>
      </c>
      <c r="J50" s="61"/>
      <c r="K50" s="61"/>
      <c r="L50" s="61"/>
      <c r="M50" s="108">
        <v>0</v>
      </c>
      <c r="N50" s="61">
        <v>0</v>
      </c>
      <c r="O50" s="61">
        <v>0</v>
      </c>
      <c r="P50" s="61">
        <f t="shared" si="22"/>
        <v>0</v>
      </c>
      <c r="Q50" s="61">
        <f t="shared" si="23"/>
        <v>0</v>
      </c>
      <c r="R50" s="61">
        <f t="shared" si="24"/>
        <v>0</v>
      </c>
      <c r="S50" s="63">
        <f t="shared" si="24"/>
        <v>0</v>
      </c>
    </row>
    <row r="51" spans="1:20" s="28" customFormat="1" ht="15.6" hidden="1" customHeight="1" outlineLevel="1" x14ac:dyDescent="0.25">
      <c r="A51" s="31"/>
      <c r="B51" s="32" t="s">
        <v>80</v>
      </c>
      <c r="C51" s="60" t="s">
        <v>27</v>
      </c>
      <c r="D51" s="61">
        <v>29.61</v>
      </c>
      <c r="E51" s="61">
        <v>6.9</v>
      </c>
      <c r="F51" s="61">
        <v>3.2</v>
      </c>
      <c r="G51" s="42">
        <f>F51*0.8</f>
        <v>2.5600000000000005</v>
      </c>
      <c r="H51" s="61">
        <v>2.6828800000000008</v>
      </c>
      <c r="I51" s="61">
        <v>0</v>
      </c>
      <c r="J51" s="61"/>
      <c r="K51" s="61"/>
      <c r="L51" s="61"/>
      <c r="M51" s="108">
        <v>0</v>
      </c>
      <c r="N51" s="61">
        <v>0</v>
      </c>
      <c r="O51" s="61">
        <v>0</v>
      </c>
      <c r="P51" s="61">
        <f t="shared" si="22"/>
        <v>0</v>
      </c>
      <c r="Q51" s="61">
        <f t="shared" si="23"/>
        <v>0</v>
      </c>
      <c r="R51" s="61">
        <f t="shared" si="24"/>
        <v>0</v>
      </c>
      <c r="S51" s="63">
        <f t="shared" si="24"/>
        <v>0</v>
      </c>
    </row>
    <row r="52" spans="1:20" s="28" customFormat="1" ht="15.6" collapsed="1" x14ac:dyDescent="0.25">
      <c r="A52" s="31"/>
      <c r="B52" s="32" t="s">
        <v>83</v>
      </c>
      <c r="C52" s="60" t="s">
        <v>27</v>
      </c>
      <c r="D52" s="61">
        <v>6188.52</v>
      </c>
      <c r="E52" s="61">
        <v>7680</v>
      </c>
      <c r="F52" s="61">
        <v>8133</v>
      </c>
      <c r="G52" s="42">
        <f>F52*1.1</f>
        <v>8946.3000000000011</v>
      </c>
      <c r="H52" s="64">
        <v>9375.7224000000024</v>
      </c>
      <c r="I52" s="64">
        <f>I28*40</f>
        <v>9012</v>
      </c>
      <c r="J52" s="64">
        <v>4716</v>
      </c>
      <c r="K52" s="61">
        <v>4904.45</v>
      </c>
      <c r="L52" s="61">
        <v>0</v>
      </c>
      <c r="M52" s="108">
        <v>0</v>
      </c>
      <c r="N52" s="64">
        <f>M52*1</f>
        <v>0</v>
      </c>
      <c r="O52" s="61">
        <f>M52*0.99</f>
        <v>0</v>
      </c>
      <c r="P52" s="61">
        <f>N52*1.005</f>
        <v>0</v>
      </c>
      <c r="Q52" s="61">
        <f>O52*1.002</f>
        <v>0</v>
      </c>
      <c r="R52" s="61">
        <f>P52*1.006</f>
        <v>0</v>
      </c>
      <c r="S52" s="63">
        <f>Q52*1.003</f>
        <v>0</v>
      </c>
    </row>
    <row r="53" spans="1:20" s="28" customFormat="1" ht="15.6" x14ac:dyDescent="0.25">
      <c r="A53" s="53" t="s">
        <v>84</v>
      </c>
      <c r="B53" s="65" t="s">
        <v>85</v>
      </c>
      <c r="C53" s="25"/>
      <c r="D53" s="66"/>
      <c r="E53" s="66"/>
      <c r="F53" s="66"/>
      <c r="G53" s="66"/>
      <c r="H53" s="66"/>
      <c r="I53" s="66"/>
      <c r="J53" s="66"/>
      <c r="K53" s="66"/>
      <c r="L53" s="66"/>
      <c r="M53" s="67"/>
      <c r="N53" s="67"/>
      <c r="O53" s="67"/>
      <c r="P53" s="67"/>
      <c r="Q53" s="67"/>
      <c r="R53" s="67"/>
      <c r="S53" s="68"/>
    </row>
    <row r="54" spans="1:20" s="28" customFormat="1" ht="15.6" x14ac:dyDescent="0.25">
      <c r="A54" s="23" t="s">
        <v>25</v>
      </c>
      <c r="B54" s="69" t="s">
        <v>86</v>
      </c>
      <c r="C54" s="25" t="s">
        <v>87</v>
      </c>
      <c r="D54" s="43">
        <f>4.9*1.0014</f>
        <v>4.9068600000000009</v>
      </c>
      <c r="E54" s="43">
        <v>4.2729999999999997</v>
      </c>
      <c r="F54" s="43">
        <v>4.2880000000000003</v>
      </c>
      <c r="G54" s="43">
        <v>4.1239999999999997</v>
      </c>
      <c r="H54" s="43">
        <v>3.5590000000000002</v>
      </c>
      <c r="I54" s="43">
        <v>3.5830000000000002</v>
      </c>
      <c r="J54" s="43">
        <v>3.548</v>
      </c>
      <c r="K54" s="43">
        <v>3.548</v>
      </c>
      <c r="L54" s="43">
        <v>3.5339999999999998</v>
      </c>
      <c r="M54" s="44">
        <v>3.3330000000000002</v>
      </c>
      <c r="N54" s="43">
        <f>M54*103.9%</f>
        <v>3.4629870000000005</v>
      </c>
      <c r="O54" s="43">
        <f>M54*100.2%</f>
        <v>3.3396660000000002</v>
      </c>
      <c r="P54" s="43">
        <f>N54*100.3%</f>
        <v>3.4733759609999999</v>
      </c>
      <c r="Q54" s="43">
        <f>O54*100.3%</f>
        <v>3.3496849979999999</v>
      </c>
      <c r="R54" s="43">
        <f>P54*100.3%</f>
        <v>3.4837960888829995</v>
      </c>
      <c r="S54" s="70">
        <f>Q54*100.3%</f>
        <v>3.3597340529939994</v>
      </c>
    </row>
    <row r="55" spans="1:20" s="28" customFormat="1" ht="15.6" x14ac:dyDescent="0.25">
      <c r="A55" s="23" t="s">
        <v>49</v>
      </c>
      <c r="B55" s="69" t="s">
        <v>88</v>
      </c>
      <c r="C55" s="25" t="s">
        <v>87</v>
      </c>
      <c r="D55" s="43"/>
      <c r="E55" s="43"/>
      <c r="F55" s="43"/>
      <c r="G55" s="43">
        <v>0.215</v>
      </c>
      <c r="H55" s="43">
        <v>0.185</v>
      </c>
      <c r="I55" s="43">
        <v>0.14399999999999999</v>
      </c>
      <c r="J55" s="43">
        <v>0.20799999999999999</v>
      </c>
      <c r="K55" s="43">
        <v>0.26400000000000001</v>
      </c>
      <c r="L55" s="43">
        <v>0.26400000000000001</v>
      </c>
      <c r="M55" s="44">
        <v>0.20799999999999999</v>
      </c>
      <c r="N55" s="43">
        <f>M55*105.5%</f>
        <v>0.21943999999999997</v>
      </c>
      <c r="O55" s="43">
        <f>M55*1</f>
        <v>0.20799999999999999</v>
      </c>
      <c r="P55" s="43">
        <f>N55*100.8%</f>
        <v>0.22119551999999998</v>
      </c>
      <c r="Q55" s="43">
        <f>O55*100.8%</f>
        <v>0.20966399999999999</v>
      </c>
      <c r="R55" s="43">
        <f>P55*100.8%</f>
        <v>0.22296508415999999</v>
      </c>
      <c r="S55" s="70">
        <f>Q55*100.8%</f>
        <v>0.211341312</v>
      </c>
    </row>
    <row r="56" spans="1:20" s="28" customFormat="1" ht="15.6" x14ac:dyDescent="0.25">
      <c r="A56" s="23" t="s">
        <v>56</v>
      </c>
      <c r="B56" s="69" t="s">
        <v>89</v>
      </c>
      <c r="C56" s="25" t="s">
        <v>87</v>
      </c>
      <c r="D56" s="43"/>
      <c r="E56" s="43"/>
      <c r="F56" s="43"/>
      <c r="G56" s="43">
        <v>0.123</v>
      </c>
      <c r="H56" s="43">
        <v>0.27200000000000002</v>
      </c>
      <c r="I56" s="43">
        <v>0.20499999999999999</v>
      </c>
      <c r="J56" s="43">
        <v>0.27600000000000002</v>
      </c>
      <c r="K56" s="43">
        <v>0.20699999999999999</v>
      </c>
      <c r="L56" s="43">
        <v>0.20699999999999999</v>
      </c>
      <c r="M56" s="44">
        <v>0.19500000000000001</v>
      </c>
      <c r="N56" s="43">
        <f>M56*100.5%</f>
        <v>0.19597499999999998</v>
      </c>
      <c r="O56" s="43">
        <f>M56*100.5%</f>
        <v>0.19597499999999998</v>
      </c>
      <c r="P56" s="43">
        <v>0.27200000000000002</v>
      </c>
      <c r="Q56" s="43">
        <f>O56*100.5%</f>
        <v>0.19695487499999997</v>
      </c>
      <c r="R56" s="43">
        <f>P56*0.95</f>
        <v>0.25840000000000002</v>
      </c>
      <c r="S56" s="70">
        <f>Q56*0.95</f>
        <v>0.18710713124999998</v>
      </c>
      <c r="T56" s="28">
        <v>0.16</v>
      </c>
    </row>
    <row r="57" spans="1:20" s="28" customFormat="1" ht="15.6" x14ac:dyDescent="0.25">
      <c r="A57" s="23" t="s">
        <v>59</v>
      </c>
      <c r="B57" s="69" t="s">
        <v>90</v>
      </c>
      <c r="C57" s="25" t="s">
        <v>87</v>
      </c>
      <c r="D57" s="43"/>
      <c r="E57" s="43"/>
      <c r="F57" s="43"/>
      <c r="G57" s="43">
        <v>9.1999999999999998E-2</v>
      </c>
      <c r="H57" s="43">
        <v>-8.6999999999999994E-2</v>
      </c>
      <c r="I57" s="43">
        <v>-6.0999999999999999E-2</v>
      </c>
      <c r="J57" s="43">
        <v>-6.8000000000000005E-2</v>
      </c>
      <c r="K57" s="43">
        <f>K55-K56</f>
        <v>5.7000000000000023E-2</v>
      </c>
      <c r="L57" s="43">
        <v>5.7000000000000023E-2</v>
      </c>
      <c r="M57" s="109">
        <f>M55-M56</f>
        <v>1.2999999999999984E-2</v>
      </c>
      <c r="N57" s="43">
        <f>N55-N56</f>
        <v>2.3464999999999986E-2</v>
      </c>
      <c r="O57" s="43">
        <f t="shared" ref="O57:S57" si="25">O55-O56</f>
        <v>1.2025000000000008E-2</v>
      </c>
      <c r="P57" s="43">
        <f t="shared" si="25"/>
        <v>-5.0804480000000041E-2</v>
      </c>
      <c r="Q57" s="43">
        <f t="shared" si="25"/>
        <v>1.2709125000000016E-2</v>
      </c>
      <c r="R57" s="43">
        <f t="shared" si="25"/>
        <v>-3.5434915840000025E-2</v>
      </c>
      <c r="S57" s="70">
        <f t="shared" si="25"/>
        <v>2.4234180750000028E-2</v>
      </c>
    </row>
    <row r="58" spans="1:20" s="28" customFormat="1" ht="15.6" x14ac:dyDescent="0.25">
      <c r="A58" s="23" t="s">
        <v>61</v>
      </c>
      <c r="B58" s="69" t="s">
        <v>91</v>
      </c>
      <c r="C58" s="25" t="s">
        <v>87</v>
      </c>
      <c r="D58" s="43"/>
      <c r="E58" s="43"/>
      <c r="F58" s="43"/>
      <c r="G58" s="43">
        <v>0.02</v>
      </c>
      <c r="H58" s="43">
        <v>0.02</v>
      </c>
      <c r="I58" s="43">
        <v>3.4000000000000002E-2</v>
      </c>
      <c r="J58" s="43">
        <v>3.3000000000000002E-2</v>
      </c>
      <c r="K58" s="43">
        <v>8.9999999999999993E-3</v>
      </c>
      <c r="L58" s="43">
        <v>1.7000000000000001E-2</v>
      </c>
      <c r="M58" s="109">
        <v>-3.0000000000000001E-3</v>
      </c>
      <c r="N58" s="71">
        <v>0.03</v>
      </c>
      <c r="O58" s="71">
        <v>1.4999999999999999E-2</v>
      </c>
      <c r="P58" s="71">
        <f>N58*1.02</f>
        <v>3.0599999999999999E-2</v>
      </c>
      <c r="Q58" s="71">
        <v>2.8000000000000001E-2</v>
      </c>
      <c r="R58" s="71">
        <v>3.7999999999999999E-2</v>
      </c>
      <c r="S58" s="72">
        <v>2.8000000000000001E-2</v>
      </c>
    </row>
    <row r="59" spans="1:20" s="28" customFormat="1" ht="15.6" x14ac:dyDescent="0.25">
      <c r="A59" s="53" t="s">
        <v>92</v>
      </c>
      <c r="B59" s="65" t="s">
        <v>93</v>
      </c>
      <c r="C59" s="25"/>
      <c r="D59" s="66">
        <f t="shared" ref="D59:F59" si="26">D60+D61</f>
        <v>3.3200000000000003</v>
      </c>
      <c r="E59" s="66">
        <f t="shared" si="26"/>
        <v>3.3140000000000001</v>
      </c>
      <c r="F59" s="66">
        <f t="shared" si="26"/>
        <v>3.319</v>
      </c>
      <c r="G59" s="66"/>
      <c r="H59" s="66"/>
      <c r="I59" s="66"/>
      <c r="J59" s="66"/>
      <c r="K59" s="66"/>
      <c r="L59" s="66"/>
      <c r="M59" s="67"/>
      <c r="N59" s="67"/>
      <c r="O59" s="67"/>
      <c r="P59" s="73"/>
      <c r="Q59" s="73"/>
      <c r="R59" s="73"/>
      <c r="S59" s="74"/>
    </row>
    <row r="60" spans="1:20" s="28" customFormat="1" ht="15.6" x14ac:dyDescent="0.25">
      <c r="A60" s="23" t="s">
        <v>25</v>
      </c>
      <c r="B60" s="69" t="s">
        <v>94</v>
      </c>
      <c r="C60" s="25" t="s">
        <v>87</v>
      </c>
      <c r="D60" s="43">
        <v>3.2440000000000002</v>
      </c>
      <c r="E60" s="43">
        <v>3.2690000000000001</v>
      </c>
      <c r="F60" s="43">
        <v>3.274</v>
      </c>
      <c r="G60" s="43">
        <v>3.1869999999999998</v>
      </c>
      <c r="H60" s="43">
        <v>3.274</v>
      </c>
      <c r="I60" s="43">
        <v>3.1269999999999998</v>
      </c>
      <c r="J60" s="71">
        <v>2.21</v>
      </c>
      <c r="K60" s="71">
        <v>1.7869999999999999</v>
      </c>
      <c r="L60" s="71">
        <v>1.7430000000000001</v>
      </c>
      <c r="M60" s="109">
        <v>1.9870000000000001</v>
      </c>
      <c r="N60" s="71">
        <f>M60*1.005</f>
        <v>1.9969349999999999</v>
      </c>
      <c r="O60" s="71">
        <f>M60*1</f>
        <v>1.9870000000000001</v>
      </c>
      <c r="P60" s="71">
        <f>N60*1.003</f>
        <v>2.0029258049999998</v>
      </c>
      <c r="Q60" s="71">
        <f>O60*1</f>
        <v>1.9870000000000001</v>
      </c>
      <c r="R60" s="71">
        <f>P60*1.005</f>
        <v>2.0129404340249994</v>
      </c>
      <c r="S60" s="72">
        <f>Q60*1.001</f>
        <v>1.9889869999999998</v>
      </c>
    </row>
    <row r="61" spans="1:20" s="28" customFormat="1" ht="31.2" x14ac:dyDescent="0.25">
      <c r="A61" s="23" t="s">
        <v>49</v>
      </c>
      <c r="B61" s="69" t="s">
        <v>95</v>
      </c>
      <c r="C61" s="25" t="s">
        <v>87</v>
      </c>
      <c r="D61" s="43">
        <v>7.5999999999999998E-2</v>
      </c>
      <c r="E61" s="43">
        <v>4.4999999999999998E-2</v>
      </c>
      <c r="F61" s="43">
        <v>4.4999999999999998E-2</v>
      </c>
      <c r="G61" s="43">
        <v>2.5999999999999999E-2</v>
      </c>
      <c r="H61" s="43">
        <v>0.03</v>
      </c>
      <c r="I61" s="43">
        <v>2.5999999999999999E-2</v>
      </c>
      <c r="J61" s="43">
        <v>2.3E-2</v>
      </c>
      <c r="K61" s="43">
        <v>7.3999999999999996E-2</v>
      </c>
      <c r="L61" s="43">
        <v>2.3E-2</v>
      </c>
      <c r="M61" s="109">
        <v>2.3E-2</v>
      </c>
      <c r="N61" s="71">
        <v>3.5000000000000003E-2</v>
      </c>
      <c r="O61" s="71">
        <v>4.4999999999999998E-2</v>
      </c>
      <c r="P61" s="71">
        <v>0.03</v>
      </c>
      <c r="Q61" s="71">
        <v>3.5000000000000003E-2</v>
      </c>
      <c r="R61" s="71">
        <v>2.8000000000000001E-2</v>
      </c>
      <c r="S61" s="72">
        <v>0.03</v>
      </c>
    </row>
    <row r="62" spans="1:20" s="28" customFormat="1" ht="15.6" x14ac:dyDescent="0.25">
      <c r="A62" s="23" t="s">
        <v>56</v>
      </c>
      <c r="B62" s="69" t="s">
        <v>96</v>
      </c>
      <c r="C62" s="25" t="s">
        <v>97</v>
      </c>
      <c r="D62" s="43"/>
      <c r="E62" s="43"/>
      <c r="F62" s="43"/>
      <c r="G62" s="43">
        <v>1440.23</v>
      </c>
      <c r="H62" s="43">
        <v>1495.85</v>
      </c>
      <c r="I62" s="43">
        <v>1741.2260000000001</v>
      </c>
      <c r="J62" s="43">
        <v>2002.41</v>
      </c>
      <c r="K62" s="71">
        <v>1950.0329999999999</v>
      </c>
      <c r="L62" s="71">
        <v>2109.1550000000002</v>
      </c>
      <c r="M62" s="109">
        <f>2193.521/12*12</f>
        <v>2193.5210000000002</v>
      </c>
      <c r="N62" s="71">
        <f>M62*101%</f>
        <v>2215.4562100000003</v>
      </c>
      <c r="O62" s="71">
        <f>M62*108%</f>
        <v>2369.0026800000005</v>
      </c>
      <c r="P62" s="71">
        <f>N62*106%</f>
        <v>2348.3835826000004</v>
      </c>
      <c r="Q62" s="71">
        <f>O62*103%</f>
        <v>2440.0727604000008</v>
      </c>
      <c r="R62" s="71">
        <f>P62*102%</f>
        <v>2395.3512542520007</v>
      </c>
      <c r="S62" s="72">
        <f>Q62*102%</f>
        <v>2488.8742156080007</v>
      </c>
    </row>
    <row r="63" spans="1:20" s="28" customFormat="1" ht="15.6" x14ac:dyDescent="0.25">
      <c r="A63" s="23" t="s">
        <v>59</v>
      </c>
      <c r="B63" s="69" t="s">
        <v>98</v>
      </c>
      <c r="C63" s="25" t="s">
        <v>97</v>
      </c>
      <c r="D63" s="43"/>
      <c r="E63" s="43"/>
      <c r="F63" s="43"/>
      <c r="G63" s="43"/>
      <c r="H63" s="43"/>
      <c r="I63" s="43"/>
      <c r="J63" s="43">
        <v>1413.8340000000001</v>
      </c>
      <c r="K63" s="43">
        <v>1233.2329999999999</v>
      </c>
      <c r="L63" s="43">
        <v>1331.8920000000001</v>
      </c>
      <c r="M63" s="44">
        <v>1531.6759999999999</v>
      </c>
      <c r="N63" s="71">
        <v>1265.5899999999999</v>
      </c>
      <c r="O63" s="71">
        <v>1200.0999999999999</v>
      </c>
      <c r="P63" s="71">
        <f>N63*1.02</f>
        <v>1290.9017999999999</v>
      </c>
      <c r="Q63" s="71">
        <f>O63*1.02</f>
        <v>1224.1019999999999</v>
      </c>
      <c r="R63" s="71">
        <f>P63*1.03</f>
        <v>1329.6288539999998</v>
      </c>
      <c r="S63" s="72">
        <f>Q63*1.02</f>
        <v>1248.58404</v>
      </c>
    </row>
    <row r="64" spans="1:20" s="28" customFormat="1" ht="15.6" x14ac:dyDescent="0.25">
      <c r="A64" s="23" t="s">
        <v>61</v>
      </c>
      <c r="B64" s="69" t="s">
        <v>99</v>
      </c>
      <c r="C64" s="25" t="s">
        <v>100</v>
      </c>
      <c r="D64" s="43"/>
      <c r="E64" s="43"/>
      <c r="F64" s="43"/>
      <c r="G64" s="43">
        <v>37.658999999999999</v>
      </c>
      <c r="H64" s="43">
        <v>38.073999999999998</v>
      </c>
      <c r="I64" s="43">
        <v>46.402999999999999</v>
      </c>
      <c r="J64" s="43">
        <v>53.311999999999998</v>
      </c>
      <c r="K64" s="43">
        <v>57.526000000000003</v>
      </c>
      <c r="L64" s="43">
        <v>62.499000000000002</v>
      </c>
      <c r="M64" s="109">
        <v>63.915999999999997</v>
      </c>
      <c r="N64" s="71">
        <f>N63/N60/12</f>
        <v>52.813853897764993</v>
      </c>
      <c r="O64" s="71">
        <f>O63/O60/12</f>
        <v>50.331320248280484</v>
      </c>
      <c r="P64" s="71">
        <f t="shared" ref="P64:S64" si="27">P63/P60/12</f>
        <v>53.709003963828799</v>
      </c>
      <c r="Q64" s="71">
        <f t="shared" si="27"/>
        <v>51.337946653246092</v>
      </c>
      <c r="R64" s="71">
        <f t="shared" si="27"/>
        <v>55.045048838550919</v>
      </c>
      <c r="S64" s="72">
        <f t="shared" si="27"/>
        <v>52.312393193117906</v>
      </c>
    </row>
    <row r="65" spans="1:19" s="28" customFormat="1" ht="15.6" x14ac:dyDescent="0.25">
      <c r="A65" s="53" t="s">
        <v>101</v>
      </c>
      <c r="B65" s="75" t="s">
        <v>102</v>
      </c>
      <c r="C65" s="76"/>
      <c r="D65" s="43"/>
      <c r="E65" s="43"/>
      <c r="F65" s="43"/>
      <c r="G65" s="43"/>
      <c r="H65" s="43"/>
      <c r="I65" s="43"/>
      <c r="J65" s="77">
        <v>53.311999999999998</v>
      </c>
      <c r="K65" s="43"/>
      <c r="L65" s="43"/>
      <c r="M65" s="44"/>
      <c r="N65" s="44"/>
      <c r="O65" s="44"/>
      <c r="P65" s="44"/>
      <c r="Q65" s="44"/>
      <c r="R65" s="44"/>
      <c r="S65" s="45"/>
    </row>
    <row r="66" spans="1:19" s="28" customFormat="1" ht="15.6" x14ac:dyDescent="0.25">
      <c r="A66" s="78" t="s">
        <v>25</v>
      </c>
      <c r="B66" s="32" t="s">
        <v>103</v>
      </c>
      <c r="C66" s="79" t="s">
        <v>104</v>
      </c>
      <c r="D66" s="43"/>
      <c r="E66" s="43"/>
      <c r="F66" s="43"/>
      <c r="G66" s="43"/>
      <c r="H66" s="43"/>
      <c r="I66" s="43">
        <f>I67+I75</f>
        <v>130.608</v>
      </c>
      <c r="J66" s="43">
        <f t="shared" ref="J66:S66" si="28">J67+J75</f>
        <v>128.39699999999999</v>
      </c>
      <c r="K66" s="71">
        <f t="shared" si="28"/>
        <v>130.50700000000001</v>
      </c>
      <c r="L66" s="118">
        <f t="shared" si="28"/>
        <v>119.31</v>
      </c>
      <c r="M66" s="109">
        <f t="shared" si="28"/>
        <v>136.86599999999999</v>
      </c>
      <c r="N66" s="71">
        <f t="shared" si="28"/>
        <v>136.43662</v>
      </c>
      <c r="O66" s="71">
        <f t="shared" si="28"/>
        <v>135.55998500000001</v>
      </c>
      <c r="P66" s="71">
        <f t="shared" si="28"/>
        <v>137.39824820000001</v>
      </c>
      <c r="Q66" s="71">
        <f t="shared" si="28"/>
        <v>135.80538030500003</v>
      </c>
      <c r="R66" s="71">
        <f t="shared" si="28"/>
        <v>137.900753536</v>
      </c>
      <c r="S66" s="72">
        <f t="shared" si="28"/>
        <v>136.52547931955502</v>
      </c>
    </row>
    <row r="67" spans="1:19" s="28" customFormat="1" ht="15.6" x14ac:dyDescent="0.25">
      <c r="A67" s="78" t="s">
        <v>28</v>
      </c>
      <c r="B67" s="80" t="s">
        <v>105</v>
      </c>
      <c r="C67" s="79" t="s">
        <v>104</v>
      </c>
      <c r="D67" s="43"/>
      <c r="E67" s="43"/>
      <c r="F67" s="43"/>
      <c r="G67" s="43"/>
      <c r="H67" s="43"/>
      <c r="I67" s="43">
        <f>I68+I74</f>
        <v>39.332999999999998</v>
      </c>
      <c r="J67" s="43">
        <f t="shared" ref="J67:S67" si="29">J68+J74</f>
        <v>42.494</v>
      </c>
      <c r="K67" s="71">
        <f t="shared" si="29"/>
        <v>40.704999999999998</v>
      </c>
      <c r="L67" s="71">
        <f t="shared" si="29"/>
        <v>46.585999999999999</v>
      </c>
      <c r="M67" s="109">
        <f t="shared" si="29"/>
        <v>44.086999999999989</v>
      </c>
      <c r="N67" s="71">
        <f t="shared" si="29"/>
        <v>43.786619999999999</v>
      </c>
      <c r="O67" s="71">
        <f t="shared" si="29"/>
        <v>43.187109999999997</v>
      </c>
      <c r="P67" s="71">
        <f t="shared" si="29"/>
        <v>44.734248200000003</v>
      </c>
      <c r="Q67" s="71">
        <f t="shared" si="29"/>
        <v>43.432249179999999</v>
      </c>
      <c r="R67" s="71">
        <f t="shared" si="29"/>
        <v>45.236753536000002</v>
      </c>
      <c r="S67" s="72">
        <f t="shared" si="29"/>
        <v>44.237331145680002</v>
      </c>
    </row>
    <row r="68" spans="1:19" s="28" customFormat="1" ht="15.6" x14ac:dyDescent="0.25">
      <c r="A68" s="78" t="s">
        <v>106</v>
      </c>
      <c r="B68" s="32" t="s">
        <v>107</v>
      </c>
      <c r="C68" s="79" t="s">
        <v>104</v>
      </c>
      <c r="D68" s="43"/>
      <c r="E68" s="43"/>
      <c r="F68" s="43"/>
      <c r="G68" s="43"/>
      <c r="H68" s="43"/>
      <c r="I68" s="43">
        <f>SUM(I69:I73)</f>
        <v>30.017999999999997</v>
      </c>
      <c r="J68" s="43">
        <f t="shared" ref="J68:S68" si="30">SUM(J69:J73)</f>
        <v>32.369</v>
      </c>
      <c r="K68" s="71">
        <f t="shared" si="30"/>
        <v>32.738999999999997</v>
      </c>
      <c r="L68" s="71">
        <f t="shared" si="30"/>
        <v>32.241</v>
      </c>
      <c r="M68" s="109">
        <f t="shared" si="30"/>
        <v>33.98899999999999</v>
      </c>
      <c r="N68" s="71">
        <f t="shared" si="30"/>
        <v>33.486660000000001</v>
      </c>
      <c r="O68" s="71">
        <f t="shared" si="30"/>
        <v>32.988129999999998</v>
      </c>
      <c r="P68" s="71">
        <f t="shared" si="30"/>
        <v>34.228289000000004</v>
      </c>
      <c r="Q68" s="71">
        <f t="shared" si="30"/>
        <v>33.131279380000002</v>
      </c>
      <c r="R68" s="71">
        <f t="shared" si="30"/>
        <v>34.520675152000003</v>
      </c>
      <c r="S68" s="72">
        <f t="shared" si="30"/>
        <v>33.414091977840002</v>
      </c>
    </row>
    <row r="69" spans="1:19" s="28" customFormat="1" ht="15.6" x14ac:dyDescent="0.25">
      <c r="A69" s="78"/>
      <c r="B69" s="81" t="s">
        <v>108</v>
      </c>
      <c r="C69" s="79" t="s">
        <v>104</v>
      </c>
      <c r="D69" s="43"/>
      <c r="E69" s="43"/>
      <c r="F69" s="43"/>
      <c r="G69" s="43"/>
      <c r="H69" s="43"/>
      <c r="I69" s="43">
        <v>22.670999999999999</v>
      </c>
      <c r="J69" s="43">
        <v>25.16</v>
      </c>
      <c r="K69" s="71">
        <v>25.425999999999998</v>
      </c>
      <c r="L69" s="71">
        <v>23.117999999999999</v>
      </c>
      <c r="M69" s="109">
        <v>23.766999999999999</v>
      </c>
      <c r="N69" s="71">
        <f>M69*98%</f>
        <v>23.29166</v>
      </c>
      <c r="O69" s="71">
        <f>M69*0.97</f>
        <v>23.053989999999999</v>
      </c>
      <c r="P69" s="71">
        <f>M69*100.7/100</f>
        <v>23.933368999999999</v>
      </c>
      <c r="Q69" s="71">
        <f>O69*100.2/100</f>
        <v>23.100097980000001</v>
      </c>
      <c r="R69" s="71">
        <f>P69*100.8/100</f>
        <v>24.124835951999998</v>
      </c>
      <c r="S69" s="72">
        <f>Q69*100.8/100</f>
        <v>23.284898763840001</v>
      </c>
    </row>
    <row r="70" spans="1:19" s="28" customFormat="1" ht="15.6" x14ac:dyDescent="0.25">
      <c r="A70" s="78"/>
      <c r="B70" s="81" t="s">
        <v>109</v>
      </c>
      <c r="C70" s="79" t="s">
        <v>104</v>
      </c>
      <c r="D70" s="43"/>
      <c r="E70" s="43"/>
      <c r="F70" s="43"/>
      <c r="G70" s="43"/>
      <c r="H70" s="43"/>
      <c r="I70" s="43">
        <v>4.6040000000000001</v>
      </c>
      <c r="J70" s="43">
        <v>4.96</v>
      </c>
      <c r="K70" s="71">
        <v>4.1849999999999996</v>
      </c>
      <c r="L70" s="71">
        <v>4.7889999999999997</v>
      </c>
      <c r="M70" s="109">
        <v>5.7889999999999997</v>
      </c>
      <c r="N70" s="71">
        <f>M70</f>
        <v>5.7889999999999997</v>
      </c>
      <c r="O70" s="71">
        <f>M70*98%</f>
        <v>5.6732199999999997</v>
      </c>
      <c r="P70" s="71">
        <f t="shared" ref="P70:S71" si="31">N70*101%</f>
        <v>5.8468900000000001</v>
      </c>
      <c r="Q70" s="71">
        <f t="shared" si="31"/>
        <v>5.7299521999999996</v>
      </c>
      <c r="R70" s="71">
        <f t="shared" si="31"/>
        <v>5.9053589000000004</v>
      </c>
      <c r="S70" s="72">
        <f t="shared" si="31"/>
        <v>5.7872517219999997</v>
      </c>
    </row>
    <row r="71" spans="1:19" s="28" customFormat="1" ht="15.6" x14ac:dyDescent="0.25">
      <c r="A71" s="78"/>
      <c r="B71" s="81" t="s">
        <v>110</v>
      </c>
      <c r="C71" s="79" t="s">
        <v>104</v>
      </c>
      <c r="D71" s="43"/>
      <c r="E71" s="43"/>
      <c r="F71" s="43"/>
      <c r="G71" s="43"/>
      <c r="H71" s="43"/>
      <c r="I71" s="43">
        <v>0.755</v>
      </c>
      <c r="J71" s="43">
        <v>0.89700000000000002</v>
      </c>
      <c r="K71" s="71">
        <v>1.5329999999999999</v>
      </c>
      <c r="L71" s="71">
        <v>2.3260000000000001</v>
      </c>
      <c r="M71" s="109">
        <v>2.9340000000000002</v>
      </c>
      <c r="N71" s="71">
        <f>M71</f>
        <v>2.9340000000000002</v>
      </c>
      <c r="O71" s="71">
        <f>M71*95%</f>
        <v>2.7873000000000001</v>
      </c>
      <c r="P71" s="71">
        <f t="shared" si="31"/>
        <v>2.9633400000000001</v>
      </c>
      <c r="Q71" s="71">
        <f t="shared" si="31"/>
        <v>2.8151730000000001</v>
      </c>
      <c r="R71" s="71">
        <f t="shared" si="31"/>
        <v>2.9929733999999999</v>
      </c>
      <c r="S71" s="72">
        <f t="shared" si="31"/>
        <v>2.84332473</v>
      </c>
    </row>
    <row r="72" spans="1:19" s="28" customFormat="1" ht="15.6" x14ac:dyDescent="0.25">
      <c r="A72" s="78"/>
      <c r="B72" s="81" t="s">
        <v>111</v>
      </c>
      <c r="C72" s="79" t="s">
        <v>104</v>
      </c>
      <c r="D72" s="43"/>
      <c r="E72" s="43"/>
      <c r="F72" s="43"/>
      <c r="G72" s="43"/>
      <c r="H72" s="43"/>
      <c r="I72" s="43">
        <v>0</v>
      </c>
      <c r="J72" s="43">
        <v>0</v>
      </c>
      <c r="K72" s="71">
        <v>0.20799999999999999</v>
      </c>
      <c r="L72" s="71">
        <v>0.22900000000000001</v>
      </c>
      <c r="M72" s="109">
        <v>0.23</v>
      </c>
      <c r="N72" s="71">
        <v>0.20300000000000001</v>
      </c>
      <c r="O72" s="71">
        <f>M72*1</f>
        <v>0.23</v>
      </c>
      <c r="P72" s="71">
        <f>N72*1</f>
        <v>0.20300000000000001</v>
      </c>
      <c r="Q72" s="71">
        <f>O72*1</f>
        <v>0.23</v>
      </c>
      <c r="R72" s="71">
        <f>P72*1</f>
        <v>0.20300000000000001</v>
      </c>
      <c r="S72" s="72">
        <f>Q72*1</f>
        <v>0.23</v>
      </c>
    </row>
    <row r="73" spans="1:19" s="28" customFormat="1" ht="15.6" x14ac:dyDescent="0.25">
      <c r="A73" s="78"/>
      <c r="B73" s="81" t="s">
        <v>112</v>
      </c>
      <c r="C73" s="79" t="s">
        <v>104</v>
      </c>
      <c r="D73" s="43"/>
      <c r="E73" s="43"/>
      <c r="F73" s="43"/>
      <c r="G73" s="43"/>
      <c r="H73" s="43"/>
      <c r="I73" s="43">
        <v>1.988</v>
      </c>
      <c r="J73" s="43">
        <v>1.3520000000000001</v>
      </c>
      <c r="K73" s="71">
        <v>1.387</v>
      </c>
      <c r="L73" s="71">
        <v>1.7789999999999999</v>
      </c>
      <c r="M73" s="109">
        <v>1.2689999999999999</v>
      </c>
      <c r="N73" s="71">
        <f>M73</f>
        <v>1.2689999999999999</v>
      </c>
      <c r="O73" s="71">
        <f>M73*0.98</f>
        <v>1.2436199999999999</v>
      </c>
      <c r="P73" s="71">
        <f>N73*101%</f>
        <v>1.28169</v>
      </c>
      <c r="Q73" s="71">
        <f>O73*101%</f>
        <v>1.2560562</v>
      </c>
      <c r="R73" s="71">
        <f>P73*101%</f>
        <v>1.2945069</v>
      </c>
      <c r="S73" s="72">
        <f>Q73*101%</f>
        <v>1.268616762</v>
      </c>
    </row>
    <row r="74" spans="1:19" s="28" customFormat="1" ht="15.6" x14ac:dyDescent="0.25">
      <c r="A74" s="78" t="s">
        <v>113</v>
      </c>
      <c r="B74" s="32" t="s">
        <v>114</v>
      </c>
      <c r="C74" s="79" t="s">
        <v>104</v>
      </c>
      <c r="D74" s="43"/>
      <c r="E74" s="43"/>
      <c r="F74" s="43"/>
      <c r="G74" s="43"/>
      <c r="H74" s="43"/>
      <c r="I74" s="43">
        <v>9.3149999999999995</v>
      </c>
      <c r="J74" s="43">
        <v>10.125</v>
      </c>
      <c r="K74" s="71">
        <v>7.9660000000000002</v>
      </c>
      <c r="L74" s="71">
        <v>14.345000000000001</v>
      </c>
      <c r="M74" s="109">
        <v>10.098000000000001</v>
      </c>
      <c r="N74" s="71">
        <f>M74*102%</f>
        <v>10.29996</v>
      </c>
      <c r="O74" s="71">
        <f>M74*101%</f>
        <v>10.198980000000001</v>
      </c>
      <c r="P74" s="71">
        <f>N74*102%</f>
        <v>10.505959200000001</v>
      </c>
      <c r="Q74" s="71">
        <f>O74*101%</f>
        <v>10.300969800000001</v>
      </c>
      <c r="R74" s="71">
        <f>P74*102%</f>
        <v>10.716078384000001</v>
      </c>
      <c r="S74" s="72">
        <f>R74*101%</f>
        <v>10.823239167840001</v>
      </c>
    </row>
    <row r="75" spans="1:19" s="28" customFormat="1" ht="15.6" x14ac:dyDescent="0.25">
      <c r="A75" s="78" t="s">
        <v>30</v>
      </c>
      <c r="B75" s="80" t="s">
        <v>115</v>
      </c>
      <c r="C75" s="79" t="s">
        <v>104</v>
      </c>
      <c r="D75" s="43"/>
      <c r="E75" s="43"/>
      <c r="F75" s="43"/>
      <c r="G75" s="43"/>
      <c r="H75" s="43"/>
      <c r="I75" s="43">
        <f t="shared" ref="I75:S75" si="32">SUM(I76:I78)</f>
        <v>91.275000000000006</v>
      </c>
      <c r="J75" s="43">
        <f t="shared" si="32"/>
        <v>85.903000000000006</v>
      </c>
      <c r="K75" s="71">
        <f>SUM(K76:K78)+0.126</f>
        <v>89.802000000000007</v>
      </c>
      <c r="L75" s="71">
        <f t="shared" ref="L75" si="33">SUM(L76:L78)</f>
        <v>72.724000000000004</v>
      </c>
      <c r="M75" s="109">
        <f t="shared" ref="M75" si="34">SUM(M76:M78)</f>
        <v>92.779000000000011</v>
      </c>
      <c r="N75" s="71">
        <f t="shared" si="32"/>
        <v>92.65</v>
      </c>
      <c r="O75" s="71">
        <f t="shared" si="32"/>
        <v>92.372875000000008</v>
      </c>
      <c r="P75" s="71">
        <f t="shared" si="32"/>
        <v>92.664000000000001</v>
      </c>
      <c r="Q75" s="71">
        <f t="shared" si="32"/>
        <v>92.373131125000015</v>
      </c>
      <c r="R75" s="71">
        <f t="shared" si="32"/>
        <v>92.664000000000001</v>
      </c>
      <c r="S75" s="72">
        <f t="shared" si="32"/>
        <v>92.288148173875015</v>
      </c>
    </row>
    <row r="76" spans="1:19" s="28" customFormat="1" ht="15.6" x14ac:dyDescent="0.25">
      <c r="A76" s="78"/>
      <c r="B76" s="81" t="s">
        <v>116</v>
      </c>
      <c r="C76" s="79" t="s">
        <v>104</v>
      </c>
      <c r="D76" s="43"/>
      <c r="E76" s="43"/>
      <c r="F76" s="43"/>
      <c r="G76" s="43"/>
      <c r="H76" s="43"/>
      <c r="I76" s="43">
        <v>11.375999999999999</v>
      </c>
      <c r="J76" s="43">
        <v>18.137</v>
      </c>
      <c r="K76" s="71">
        <v>32.329000000000001</v>
      </c>
      <c r="L76" s="71">
        <f>58.07+6.88</f>
        <v>64.95</v>
      </c>
      <c r="M76" s="109">
        <v>84.555000000000007</v>
      </c>
      <c r="N76" s="71">
        <f>M76</f>
        <v>84.555000000000007</v>
      </c>
      <c r="O76" s="71">
        <f>N76*99.9%</f>
        <v>84.470445000000012</v>
      </c>
      <c r="P76" s="71">
        <f>N76</f>
        <v>84.555000000000007</v>
      </c>
      <c r="Q76" s="71">
        <f>O76*1</f>
        <v>84.470445000000012</v>
      </c>
      <c r="R76" s="71">
        <f>P76*100/100</f>
        <v>84.555000000000007</v>
      </c>
      <c r="S76" s="72">
        <f>Q76*99.9/100</f>
        <v>84.385974555000018</v>
      </c>
    </row>
    <row r="77" spans="1:19" s="28" customFormat="1" ht="15.6" x14ac:dyDescent="0.25">
      <c r="A77" s="78"/>
      <c r="B77" s="81" t="s">
        <v>117</v>
      </c>
      <c r="C77" s="79" t="s">
        <v>104</v>
      </c>
      <c r="D77" s="43"/>
      <c r="E77" s="43"/>
      <c r="F77" s="43"/>
      <c r="G77" s="43"/>
      <c r="H77" s="43"/>
      <c r="I77" s="43">
        <v>0.71899999999999997</v>
      </c>
      <c r="J77" s="43">
        <v>0.86399999999999999</v>
      </c>
      <c r="K77" s="71">
        <v>0.71599999999999997</v>
      </c>
      <c r="L77" s="71">
        <v>0.74299999999999999</v>
      </c>
      <c r="M77" s="109">
        <v>0.68300000000000005</v>
      </c>
      <c r="N77" s="71">
        <v>0.55400000000000005</v>
      </c>
      <c r="O77" s="71">
        <f>M77*75%</f>
        <v>0.51225000000000009</v>
      </c>
      <c r="P77" s="71">
        <v>0.56799999999999995</v>
      </c>
      <c r="Q77" s="71">
        <f>O77*100.05/100</f>
        <v>0.51250612500000015</v>
      </c>
      <c r="R77" s="71">
        <f>P77*100/100</f>
        <v>0.56799999999999995</v>
      </c>
      <c r="S77" s="72">
        <f>Q77*99.9/100</f>
        <v>0.51199361887500017</v>
      </c>
    </row>
    <row r="78" spans="1:19" s="28" customFormat="1" ht="15.6" x14ac:dyDescent="0.25">
      <c r="A78" s="78"/>
      <c r="B78" s="81" t="s">
        <v>118</v>
      </c>
      <c r="C78" s="79" t="s">
        <v>104</v>
      </c>
      <c r="D78" s="43"/>
      <c r="E78" s="43"/>
      <c r="F78" s="43"/>
      <c r="G78" s="43"/>
      <c r="H78" s="43"/>
      <c r="I78" s="43">
        <v>79.180000000000007</v>
      </c>
      <c r="J78" s="43">
        <v>66.902000000000001</v>
      </c>
      <c r="K78" s="71">
        <v>56.631</v>
      </c>
      <c r="L78" s="71">
        <v>7.0309999999999997</v>
      </c>
      <c r="M78" s="109">
        <v>7.5410000000000004</v>
      </c>
      <c r="N78" s="71">
        <f>M78</f>
        <v>7.5410000000000004</v>
      </c>
      <c r="O78" s="71">
        <f>N78*98%</f>
        <v>7.39018</v>
      </c>
      <c r="P78" s="71">
        <f>N78</f>
        <v>7.5410000000000004</v>
      </c>
      <c r="Q78" s="71">
        <f>O78</f>
        <v>7.39018</v>
      </c>
      <c r="R78" s="71">
        <f>P78*100%</f>
        <v>7.5410000000000004</v>
      </c>
      <c r="S78" s="72">
        <f>Q78</f>
        <v>7.39018</v>
      </c>
    </row>
    <row r="79" spans="1:19" s="28" customFormat="1" ht="31.2" x14ac:dyDescent="0.25">
      <c r="A79" s="78" t="s">
        <v>49</v>
      </c>
      <c r="B79" s="32" t="s">
        <v>119</v>
      </c>
      <c r="C79" s="79" t="s">
        <v>104</v>
      </c>
      <c r="D79" s="43"/>
      <c r="E79" s="43"/>
      <c r="F79" s="43"/>
      <c r="G79" s="43"/>
      <c r="H79" s="43"/>
      <c r="I79" s="43">
        <f>SUM(I80:I89)</f>
        <v>127.63700000000001</v>
      </c>
      <c r="J79" s="43">
        <f t="shared" ref="J79:S79" si="35">SUM(J80:J89)</f>
        <v>129.256</v>
      </c>
      <c r="K79" s="71">
        <f t="shared" si="35"/>
        <v>130.02799999999999</v>
      </c>
      <c r="L79" s="71">
        <f t="shared" si="35"/>
        <v>119.86700000000002</v>
      </c>
      <c r="M79" s="109">
        <f t="shared" si="35"/>
        <v>135.01999999999998</v>
      </c>
      <c r="N79" s="71">
        <f t="shared" si="35"/>
        <v>114.30662</v>
      </c>
      <c r="O79" s="71">
        <f t="shared" si="35"/>
        <v>129.259725</v>
      </c>
      <c r="P79" s="71">
        <f t="shared" si="35"/>
        <v>115.2853132</v>
      </c>
      <c r="Q79" s="71">
        <f t="shared" si="35"/>
        <v>129.72762160000002</v>
      </c>
      <c r="R79" s="71">
        <f t="shared" si="35"/>
        <v>116.34763493199999</v>
      </c>
      <c r="S79" s="72">
        <f t="shared" si="35"/>
        <v>129.7341816</v>
      </c>
    </row>
    <row r="80" spans="1:19" s="28" customFormat="1" ht="15.6" x14ac:dyDescent="0.25">
      <c r="A80" s="78"/>
      <c r="B80" s="81" t="s">
        <v>120</v>
      </c>
      <c r="C80" s="79" t="s">
        <v>104</v>
      </c>
      <c r="D80" s="43"/>
      <c r="E80" s="43"/>
      <c r="F80" s="43"/>
      <c r="G80" s="43"/>
      <c r="H80" s="43"/>
      <c r="I80" s="43">
        <v>31.364000000000001</v>
      </c>
      <c r="J80" s="43">
        <v>33.994</v>
      </c>
      <c r="K80" s="71">
        <v>32.505000000000003</v>
      </c>
      <c r="L80" s="71">
        <v>39.548000000000002</v>
      </c>
      <c r="M80" s="109">
        <v>35.765999999999998</v>
      </c>
      <c r="N80" s="71">
        <f>M80*102%</f>
        <v>36.481319999999997</v>
      </c>
      <c r="O80" s="71">
        <f>M80*101%</f>
        <v>36.123660000000001</v>
      </c>
      <c r="P80" s="71">
        <f>N80*101%</f>
        <v>36.846133199999997</v>
      </c>
      <c r="Q80" s="71">
        <f>O80*101%</f>
        <v>36.484896599999999</v>
      </c>
      <c r="R80" s="71">
        <f>P80*101%</f>
        <v>37.214594532</v>
      </c>
      <c r="S80" s="72">
        <f>Q80</f>
        <v>36.484896599999999</v>
      </c>
    </row>
    <row r="81" spans="1:19" s="28" customFormat="1" ht="15.6" x14ac:dyDescent="0.25">
      <c r="A81" s="78"/>
      <c r="B81" s="81" t="s">
        <v>121</v>
      </c>
      <c r="C81" s="79" t="s">
        <v>104</v>
      </c>
      <c r="D81" s="43"/>
      <c r="E81" s="43"/>
      <c r="F81" s="43"/>
      <c r="G81" s="43"/>
      <c r="H81" s="43"/>
      <c r="I81" s="43">
        <v>0.46400000000000002</v>
      </c>
      <c r="J81" s="43">
        <v>0.72699999999999998</v>
      </c>
      <c r="K81" s="71">
        <v>0.60199999999999998</v>
      </c>
      <c r="L81" s="71">
        <v>0.621</v>
      </c>
      <c r="M81" s="109">
        <v>0.59899999999999998</v>
      </c>
      <c r="N81" s="71">
        <v>0.60199999999999998</v>
      </c>
      <c r="O81" s="71">
        <v>0.46600000000000003</v>
      </c>
      <c r="P81" s="71">
        <f>N81*102%</f>
        <v>0.61404000000000003</v>
      </c>
      <c r="Q81" s="71">
        <f>O81*101%</f>
        <v>0.47066000000000002</v>
      </c>
      <c r="R81" s="71">
        <f>P81*101%</f>
        <v>0.62018040000000008</v>
      </c>
      <c r="S81" s="72">
        <v>0.46600000000000003</v>
      </c>
    </row>
    <row r="82" spans="1:19" s="28" customFormat="1" ht="15.6" x14ac:dyDescent="0.25">
      <c r="A82" s="82"/>
      <c r="B82" s="83" t="s">
        <v>122</v>
      </c>
      <c r="C82" s="84" t="s">
        <v>104</v>
      </c>
      <c r="D82" s="43"/>
      <c r="E82" s="43"/>
      <c r="F82" s="43"/>
      <c r="G82" s="43"/>
      <c r="H82" s="43"/>
      <c r="I82" s="43">
        <v>1.242</v>
      </c>
      <c r="J82" s="43">
        <v>0.94299999999999995</v>
      </c>
      <c r="K82" s="71">
        <v>4.056</v>
      </c>
      <c r="L82" s="71">
        <v>1.054</v>
      </c>
      <c r="M82" s="109">
        <v>1.0249999999999999</v>
      </c>
      <c r="N82" s="71">
        <v>4.056</v>
      </c>
      <c r="O82" s="71">
        <v>1.02</v>
      </c>
      <c r="P82" s="71">
        <f>N82</f>
        <v>4.056</v>
      </c>
      <c r="Q82" s="71">
        <f>O82*1.1</f>
        <v>1.1220000000000001</v>
      </c>
      <c r="R82" s="71">
        <f>P82*100%</f>
        <v>4.056</v>
      </c>
      <c r="S82" s="72">
        <f>Q82*101%</f>
        <v>1.1332200000000001</v>
      </c>
    </row>
    <row r="83" spans="1:19" s="28" customFormat="1" ht="15.6" x14ac:dyDescent="0.25">
      <c r="A83" s="78"/>
      <c r="B83" s="81" t="s">
        <v>123</v>
      </c>
      <c r="C83" s="79" t="s">
        <v>104</v>
      </c>
      <c r="D83" s="43"/>
      <c r="E83" s="43"/>
      <c r="F83" s="43"/>
      <c r="G83" s="43"/>
      <c r="H83" s="43"/>
      <c r="I83" s="43">
        <v>9.56</v>
      </c>
      <c r="J83" s="43">
        <v>9.2010000000000005</v>
      </c>
      <c r="K83" s="71">
        <v>7.6790000000000003</v>
      </c>
      <c r="L83" s="71">
        <v>14.413</v>
      </c>
      <c r="M83" s="109">
        <v>11.584</v>
      </c>
      <c r="N83" s="71">
        <v>7.6790000000000003</v>
      </c>
      <c r="O83" s="71">
        <f>N83*99.5%</f>
        <v>7.6406049999999999</v>
      </c>
      <c r="P83" s="71">
        <f>N83*102%</f>
        <v>7.8325800000000001</v>
      </c>
      <c r="Q83" s="71">
        <f>O83</f>
        <v>7.6406049999999999</v>
      </c>
      <c r="R83" s="71">
        <f>P83*103%</f>
        <v>8.0675574000000001</v>
      </c>
      <c r="S83" s="72">
        <f>Q83</f>
        <v>7.6406049999999999</v>
      </c>
    </row>
    <row r="84" spans="1:19" s="28" customFormat="1" ht="15.6" x14ac:dyDescent="0.25">
      <c r="A84" s="78"/>
      <c r="B84" s="81" t="s">
        <v>124</v>
      </c>
      <c r="C84" s="79" t="s">
        <v>104</v>
      </c>
      <c r="D84" s="43"/>
      <c r="E84" s="43"/>
      <c r="F84" s="43"/>
      <c r="G84" s="43"/>
      <c r="H84" s="43"/>
      <c r="I84" s="43">
        <v>43.795000000000002</v>
      </c>
      <c r="J84" s="43">
        <v>41.646000000000001</v>
      </c>
      <c r="K84" s="71">
        <v>48.308999999999997</v>
      </c>
      <c r="L84" s="71">
        <v>30.132000000000001</v>
      </c>
      <c r="M84" s="109">
        <v>47.83</v>
      </c>
      <c r="N84" s="71">
        <v>30.302</v>
      </c>
      <c r="O84" s="71">
        <f>M84*0.95</f>
        <v>45.438499999999998</v>
      </c>
      <c r="P84" s="71">
        <f>N84*101%</f>
        <v>30.60502</v>
      </c>
      <c r="Q84" s="71">
        <f>O84*100%</f>
        <v>45.438499999999998</v>
      </c>
      <c r="R84" s="71">
        <f>P84*101%</f>
        <v>30.911070200000001</v>
      </c>
      <c r="S84" s="72">
        <f>Q84*100%</f>
        <v>45.438499999999998</v>
      </c>
    </row>
    <row r="85" spans="1:19" s="28" customFormat="1" ht="15.6" x14ac:dyDescent="0.25">
      <c r="A85" s="78"/>
      <c r="B85" s="81" t="s">
        <v>125</v>
      </c>
      <c r="C85" s="79" t="s">
        <v>104</v>
      </c>
      <c r="D85" s="43"/>
      <c r="E85" s="43"/>
      <c r="F85" s="43"/>
      <c r="G85" s="43"/>
      <c r="H85" s="43"/>
      <c r="I85" s="43"/>
      <c r="J85" s="43">
        <v>2E-3</v>
      </c>
      <c r="K85" s="71">
        <v>2E-3</v>
      </c>
      <c r="L85" s="71">
        <v>0</v>
      </c>
      <c r="M85" s="109">
        <v>0.66</v>
      </c>
      <c r="N85" s="71">
        <f>M85*50.5%</f>
        <v>0.33330000000000004</v>
      </c>
      <c r="O85" s="71">
        <f>M85*52.2%</f>
        <v>0.34452000000000005</v>
      </c>
      <c r="P85" s="71">
        <f>N85*100%</f>
        <v>0.33330000000000004</v>
      </c>
      <c r="Q85" s="71">
        <f>O85*100%</f>
        <v>0.34452000000000005</v>
      </c>
      <c r="R85" s="71">
        <f>P85*100%</f>
        <v>0.33330000000000004</v>
      </c>
      <c r="S85" s="72">
        <f>Q85*100%</f>
        <v>0.34452000000000005</v>
      </c>
    </row>
    <row r="86" spans="1:19" s="28" customFormat="1" ht="15.6" outlineLevel="1" x14ac:dyDescent="0.25">
      <c r="A86" s="78"/>
      <c r="B86" s="81" t="s">
        <v>126</v>
      </c>
      <c r="C86" s="79" t="s">
        <v>104</v>
      </c>
      <c r="D86" s="43"/>
      <c r="E86" s="43"/>
      <c r="F86" s="43"/>
      <c r="G86" s="43"/>
      <c r="H86" s="43"/>
      <c r="I86" s="43">
        <v>0.24199999999999999</v>
      </c>
      <c r="J86" s="43">
        <v>0</v>
      </c>
      <c r="K86" s="71">
        <v>7.0000000000000001E-3</v>
      </c>
      <c r="L86" s="71">
        <v>0</v>
      </c>
      <c r="M86" s="109">
        <v>0</v>
      </c>
      <c r="N86" s="71">
        <v>0</v>
      </c>
      <c r="O86" s="71">
        <f t="shared" ref="O86" si="36">N86/100.5%</f>
        <v>0</v>
      </c>
      <c r="P86" s="71">
        <v>0</v>
      </c>
      <c r="Q86" s="71">
        <f t="shared" ref="Q86" si="37">P86/100.7%</f>
        <v>0</v>
      </c>
      <c r="R86" s="71">
        <v>0</v>
      </c>
      <c r="S86" s="72">
        <f t="shared" ref="S86" si="38">R86/100.8%</f>
        <v>0</v>
      </c>
    </row>
    <row r="87" spans="1:19" s="28" customFormat="1" ht="15.6" x14ac:dyDescent="0.25">
      <c r="A87" s="78"/>
      <c r="B87" s="81" t="s">
        <v>127</v>
      </c>
      <c r="C87" s="79" t="s">
        <v>104</v>
      </c>
      <c r="D87" s="43"/>
      <c r="E87" s="43"/>
      <c r="F87" s="43"/>
      <c r="G87" s="43"/>
      <c r="H87" s="43"/>
      <c r="I87" s="43">
        <v>24.741</v>
      </c>
      <c r="J87" s="43">
        <v>26.234999999999999</v>
      </c>
      <c r="K87" s="71">
        <v>22.994</v>
      </c>
      <c r="L87" s="71">
        <v>21.064</v>
      </c>
      <c r="M87" s="109">
        <v>23.893999999999998</v>
      </c>
      <c r="N87" s="71">
        <v>20.209</v>
      </c>
      <c r="O87" s="71">
        <f>M87*0.99</f>
        <v>23.655059999999999</v>
      </c>
      <c r="P87" s="71">
        <f>N87</f>
        <v>20.209</v>
      </c>
      <c r="Q87" s="71">
        <f>O87</f>
        <v>23.655059999999999</v>
      </c>
      <c r="R87" s="71">
        <f>P87*100%</f>
        <v>20.209</v>
      </c>
      <c r="S87" s="72">
        <f>Q87</f>
        <v>23.655059999999999</v>
      </c>
    </row>
    <row r="88" spans="1:19" s="28" customFormat="1" ht="15.6" x14ac:dyDescent="0.25">
      <c r="A88" s="78"/>
      <c r="B88" s="81" t="s">
        <v>128</v>
      </c>
      <c r="C88" s="79" t="s">
        <v>104</v>
      </c>
      <c r="D88" s="43"/>
      <c r="E88" s="43"/>
      <c r="F88" s="43"/>
      <c r="G88" s="43"/>
      <c r="H88" s="43"/>
      <c r="I88" s="43">
        <v>0</v>
      </c>
      <c r="J88" s="43">
        <v>1.4999999999999999E-2</v>
      </c>
      <c r="K88" s="71">
        <v>0.13500000000000001</v>
      </c>
      <c r="L88" s="71">
        <v>0.125</v>
      </c>
      <c r="M88" s="109">
        <v>0.125</v>
      </c>
      <c r="N88" s="71">
        <v>0.12</v>
      </c>
      <c r="O88" s="71">
        <v>0.12</v>
      </c>
      <c r="P88" s="71">
        <v>0.12</v>
      </c>
      <c r="Q88" s="71">
        <v>0.12</v>
      </c>
      <c r="R88" s="71">
        <v>0.12</v>
      </c>
      <c r="S88" s="72">
        <v>0.12</v>
      </c>
    </row>
    <row r="89" spans="1:19" s="28" customFormat="1" ht="15.6" x14ac:dyDescent="0.25">
      <c r="A89" s="78"/>
      <c r="B89" s="81" t="s">
        <v>129</v>
      </c>
      <c r="C89" s="79" t="s">
        <v>104</v>
      </c>
      <c r="D89" s="43"/>
      <c r="E89" s="43"/>
      <c r="F89" s="43"/>
      <c r="G89" s="43"/>
      <c r="H89" s="43"/>
      <c r="I89" s="43">
        <v>16.228999999999999</v>
      </c>
      <c r="J89" s="43">
        <v>16.492999999999999</v>
      </c>
      <c r="K89" s="71">
        <v>13.739000000000001</v>
      </c>
      <c r="L89" s="71">
        <v>12.91</v>
      </c>
      <c r="M89" s="109">
        <v>13.537000000000001</v>
      </c>
      <c r="N89" s="71">
        <v>14.523999999999999</v>
      </c>
      <c r="O89" s="71">
        <f>N89*99.5%</f>
        <v>14.451379999999999</v>
      </c>
      <c r="P89" s="71">
        <f>N89*101%</f>
        <v>14.669239999999999</v>
      </c>
      <c r="Q89" s="71">
        <f>O89</f>
        <v>14.451379999999999</v>
      </c>
      <c r="R89" s="71">
        <f>P89*101%</f>
        <v>14.815932399999999</v>
      </c>
      <c r="S89" s="72">
        <f>Q89</f>
        <v>14.451379999999999</v>
      </c>
    </row>
    <row r="90" spans="1:19" s="28" customFormat="1" ht="31.2" x14ac:dyDescent="0.25">
      <c r="A90" s="78" t="s">
        <v>56</v>
      </c>
      <c r="B90" s="32" t="s">
        <v>130</v>
      </c>
      <c r="C90" s="79" t="s">
        <v>104</v>
      </c>
      <c r="D90" s="43"/>
      <c r="E90" s="43"/>
      <c r="F90" s="43"/>
      <c r="G90" s="43"/>
      <c r="H90" s="43"/>
      <c r="I90" s="43">
        <f t="shared" ref="I90:S90" si="39">I66-I79</f>
        <v>2.9709999999999894</v>
      </c>
      <c r="J90" s="43">
        <f t="shared" si="39"/>
        <v>-0.85900000000000887</v>
      </c>
      <c r="K90" s="71">
        <f t="shared" si="39"/>
        <v>0.47900000000001342</v>
      </c>
      <c r="L90" s="71">
        <f t="shared" si="39"/>
        <v>-0.55700000000001637</v>
      </c>
      <c r="M90" s="109">
        <f t="shared" si="39"/>
        <v>1.8460000000000036</v>
      </c>
      <c r="N90" s="71">
        <f t="shared" si="39"/>
        <v>22.13000000000001</v>
      </c>
      <c r="O90" s="71">
        <f t="shared" si="39"/>
        <v>6.3002600000000086</v>
      </c>
      <c r="P90" s="71">
        <f t="shared" si="39"/>
        <v>22.112935000000007</v>
      </c>
      <c r="Q90" s="71">
        <f t="shared" si="39"/>
        <v>6.0777587050000079</v>
      </c>
      <c r="R90" s="71">
        <f t="shared" si="39"/>
        <v>21.553118604000005</v>
      </c>
      <c r="S90" s="72">
        <f t="shared" si="39"/>
        <v>6.7912977195550184</v>
      </c>
    </row>
    <row r="91" spans="1:19" s="28" customFormat="1" ht="15.6" x14ac:dyDescent="0.25">
      <c r="A91" s="53" t="s">
        <v>131</v>
      </c>
      <c r="B91" s="65" t="s">
        <v>132</v>
      </c>
      <c r="C91" s="25"/>
      <c r="D91" s="85">
        <f>D92+D94+D96</f>
        <v>327617.5</v>
      </c>
      <c r="E91" s="86">
        <f>E92+E94+E96</f>
        <v>348144</v>
      </c>
      <c r="F91" s="85">
        <f>F92+F94+F96</f>
        <v>372600</v>
      </c>
      <c r="G91" s="85">
        <v>393892</v>
      </c>
      <c r="H91" s="85">
        <v>390630</v>
      </c>
      <c r="I91" s="85">
        <f t="shared" ref="I91:S91" si="40">I92+I94+I96</f>
        <v>394641</v>
      </c>
      <c r="J91" s="85">
        <f t="shared" si="40"/>
        <v>420736</v>
      </c>
      <c r="K91" s="87">
        <f t="shared" si="40"/>
        <v>419915</v>
      </c>
      <c r="L91" s="87">
        <f t="shared" si="40"/>
        <v>424241</v>
      </c>
      <c r="M91" s="110">
        <f t="shared" si="40"/>
        <v>432474.36</v>
      </c>
      <c r="N91" s="85">
        <f t="shared" si="40"/>
        <v>437315.78359999997</v>
      </c>
      <c r="O91" s="85">
        <f t="shared" si="40"/>
        <v>434842.20579999994</v>
      </c>
      <c r="P91" s="85">
        <f t="shared" si="40"/>
        <v>440278.07151799992</v>
      </c>
      <c r="Q91" s="85">
        <f t="shared" si="40"/>
        <v>435707.02202179993</v>
      </c>
      <c r="R91" s="85">
        <f t="shared" si="40"/>
        <v>443553.66415158991</v>
      </c>
      <c r="S91" s="88">
        <f t="shared" si="40"/>
        <v>436785.45061982167</v>
      </c>
    </row>
    <row r="92" spans="1:19" s="28" customFormat="1" ht="62.4" x14ac:dyDescent="0.25">
      <c r="A92" s="23" t="s">
        <v>25</v>
      </c>
      <c r="B92" s="69" t="s">
        <v>133</v>
      </c>
      <c r="C92" s="25" t="s">
        <v>134</v>
      </c>
      <c r="D92" s="26">
        <f>302500*1.047</f>
        <v>316717.5</v>
      </c>
      <c r="E92" s="29">
        <v>334770.7</v>
      </c>
      <c r="F92" s="26">
        <v>357600</v>
      </c>
      <c r="G92" s="26">
        <f>F92*1.057</f>
        <v>377983.19999999995</v>
      </c>
      <c r="H92" s="26">
        <v>374764.79999999999</v>
      </c>
      <c r="I92" s="26">
        <v>377983</v>
      </c>
      <c r="J92" s="26">
        <v>402930</v>
      </c>
      <c r="K92" s="36">
        <v>402651</v>
      </c>
      <c r="L92" s="36">
        <v>406718</v>
      </c>
      <c r="M92" s="105">
        <f>L92*1.02/12*12</f>
        <v>414852.36</v>
      </c>
      <c r="N92" s="26">
        <f>M92*1.01</f>
        <v>419000.8836</v>
      </c>
      <c r="O92" s="26">
        <f>M92*1.005</f>
        <v>416926.62179999996</v>
      </c>
      <c r="P92" s="26">
        <f>N92*1.005</f>
        <v>421095.88801799994</v>
      </c>
      <c r="Q92" s="26">
        <f>O92*1.001</f>
        <v>417343.5484217999</v>
      </c>
      <c r="R92" s="26">
        <f>P92*1.005</f>
        <v>423201.3674580899</v>
      </c>
      <c r="S92" s="27">
        <f>Q92*1.001</f>
        <v>417760.89197022165</v>
      </c>
    </row>
    <row r="93" spans="1:19" s="28" customFormat="1" ht="15.6" x14ac:dyDescent="0.25">
      <c r="A93" s="23" t="s">
        <v>49</v>
      </c>
      <c r="B93" s="69" t="s">
        <v>135</v>
      </c>
      <c r="C93" s="25" t="s">
        <v>136</v>
      </c>
      <c r="D93" s="26">
        <f>SUM(D92/302500)*100</f>
        <v>104.69999999999999</v>
      </c>
      <c r="E93" s="29">
        <f>SUM(E92/D92)*100</f>
        <v>105.70009551098376</v>
      </c>
      <c r="F93" s="29">
        <f>SUM(F92/E92)*100</f>
        <v>106.81938413367718</v>
      </c>
      <c r="G93" s="29">
        <f>SUM(G92/F92)*100</f>
        <v>105.69999999999999</v>
      </c>
      <c r="H93" s="29">
        <f>SUM(H92/G92)*100</f>
        <v>99.148533585619688</v>
      </c>
      <c r="I93" s="29">
        <f>SUM(I92/H92*100)</f>
        <v>100.85872525914921</v>
      </c>
      <c r="J93" s="29">
        <f>SUM(J92/I92*100)</f>
        <v>106.60003227658387</v>
      </c>
      <c r="K93" s="29">
        <f>K92/J92*100</f>
        <v>99.930757203484475</v>
      </c>
      <c r="L93" s="29">
        <f>L92/K92*100</f>
        <v>101.01005585482217</v>
      </c>
      <c r="M93" s="111">
        <f>M92/L92*100</f>
        <v>102</v>
      </c>
      <c r="N93" s="29">
        <f>N92/M92*100</f>
        <v>101</v>
      </c>
      <c r="O93" s="29">
        <f>O92/M92*100</f>
        <v>100.49999999999999</v>
      </c>
      <c r="P93" s="29">
        <f>P92/N92*100</f>
        <v>100.49999999999999</v>
      </c>
      <c r="Q93" s="29">
        <f>Q92/O92*100</f>
        <v>100.1</v>
      </c>
      <c r="R93" s="29">
        <f>R92/P92*100</f>
        <v>100.49999999999999</v>
      </c>
      <c r="S93" s="47">
        <f>S92/Q92*100</f>
        <v>100.1</v>
      </c>
    </row>
    <row r="94" spans="1:19" s="28" customFormat="1" ht="62.4" x14ac:dyDescent="0.25">
      <c r="A94" s="23" t="s">
        <v>56</v>
      </c>
      <c r="B94" s="69" t="s">
        <v>137</v>
      </c>
      <c r="C94" s="25" t="s">
        <v>134</v>
      </c>
      <c r="D94" s="26">
        <v>5300</v>
      </c>
      <c r="E94" s="29">
        <v>6133.3</v>
      </c>
      <c r="F94" s="26">
        <v>6800</v>
      </c>
      <c r="G94" s="26">
        <f>F94*1.048</f>
        <v>7126.4000000000005</v>
      </c>
      <c r="H94" s="26">
        <v>7099.2</v>
      </c>
      <c r="I94" s="26">
        <v>7454</v>
      </c>
      <c r="J94" s="26">
        <v>8050</v>
      </c>
      <c r="K94" s="26">
        <v>8050</v>
      </c>
      <c r="L94" s="26">
        <v>8171</v>
      </c>
      <c r="M94" s="39">
        <f>8212/12*12</f>
        <v>8212</v>
      </c>
      <c r="N94" s="26">
        <f>M94*105%</f>
        <v>8622.6</v>
      </c>
      <c r="O94" s="26">
        <f>M94*102.2%</f>
        <v>8392.6640000000007</v>
      </c>
      <c r="P94" s="26">
        <f>N94*105%</f>
        <v>9053.7300000000014</v>
      </c>
      <c r="Q94" s="26">
        <f>O94*102.5%</f>
        <v>8602.4806000000008</v>
      </c>
      <c r="R94" s="26">
        <f>P94*106.1%</f>
        <v>9606.0075300000008</v>
      </c>
      <c r="S94" s="27">
        <f>Q94*103.6%</f>
        <v>8912.1699016000002</v>
      </c>
    </row>
    <row r="95" spans="1:19" s="28" customFormat="1" ht="15.6" x14ac:dyDescent="0.25">
      <c r="A95" s="23" t="s">
        <v>59</v>
      </c>
      <c r="B95" s="69" t="s">
        <v>135</v>
      </c>
      <c r="C95" s="25" t="s">
        <v>136</v>
      </c>
      <c r="D95" s="26">
        <f>D94/4100*100</f>
        <v>129.26829268292684</v>
      </c>
      <c r="E95" s="29">
        <f t="shared" ref="E95:O95" si="41">E94/D94*100</f>
        <v>115.72264150943397</v>
      </c>
      <c r="F95" s="29">
        <f t="shared" si="41"/>
        <v>110.87016777265093</v>
      </c>
      <c r="G95" s="29">
        <f t="shared" si="41"/>
        <v>104.80000000000001</v>
      </c>
      <c r="H95" s="29">
        <f t="shared" si="41"/>
        <v>99.618320610687022</v>
      </c>
      <c r="I95" s="29">
        <f t="shared" si="41"/>
        <v>104.99774622492674</v>
      </c>
      <c r="J95" s="29">
        <f t="shared" si="41"/>
        <v>107.99570700295145</v>
      </c>
      <c r="K95" s="29">
        <f>K94/J94*100</f>
        <v>100</v>
      </c>
      <c r="L95" s="29">
        <f>L94/K94*100</f>
        <v>101.50310559006211</v>
      </c>
      <c r="M95" s="111">
        <f>M94/L94*100</f>
        <v>100.50177456859626</v>
      </c>
      <c r="N95" s="29">
        <f t="shared" si="41"/>
        <v>105</v>
      </c>
      <c r="O95" s="29">
        <f t="shared" si="41"/>
        <v>97.333333333333343</v>
      </c>
      <c r="P95" s="29">
        <f>P94/N94*100</f>
        <v>105</v>
      </c>
      <c r="Q95" s="29">
        <f>Q94/O94*100</f>
        <v>102.49999999999999</v>
      </c>
      <c r="R95" s="29">
        <f>R94/P94*100</f>
        <v>106.1</v>
      </c>
      <c r="S95" s="47">
        <f>S94/Q94*100</f>
        <v>103.60000000000001</v>
      </c>
    </row>
    <row r="96" spans="1:19" s="28" customFormat="1" ht="62.4" x14ac:dyDescent="0.25">
      <c r="A96" s="23" t="s">
        <v>61</v>
      </c>
      <c r="B96" s="69" t="s">
        <v>138</v>
      </c>
      <c r="C96" s="25" t="s">
        <v>134</v>
      </c>
      <c r="D96" s="26">
        <v>5600</v>
      </c>
      <c r="E96" s="26">
        <v>7240</v>
      </c>
      <c r="F96" s="26">
        <v>8200</v>
      </c>
      <c r="G96" s="26">
        <f>F96*1.071</f>
        <v>8782.1999999999989</v>
      </c>
      <c r="H96" s="26">
        <v>8765.7999999999993</v>
      </c>
      <c r="I96" s="26">
        <v>9204</v>
      </c>
      <c r="J96" s="26">
        <v>9756</v>
      </c>
      <c r="K96" s="26">
        <v>9214</v>
      </c>
      <c r="L96" s="26">
        <v>9352</v>
      </c>
      <c r="M96" s="39">
        <f>9410/12*12</f>
        <v>9410</v>
      </c>
      <c r="N96" s="26">
        <f>M96*103%</f>
        <v>9692.3000000000011</v>
      </c>
      <c r="O96" s="26">
        <f>M96*101.2%</f>
        <v>9522.92</v>
      </c>
      <c r="P96" s="26">
        <f>N96*104.5%</f>
        <v>10128.4535</v>
      </c>
      <c r="Q96" s="26">
        <f>O96*102.5%</f>
        <v>9760.9929999999986</v>
      </c>
      <c r="R96" s="26">
        <f>P96*106.1%</f>
        <v>10746.2891635</v>
      </c>
      <c r="S96" s="27">
        <f>Q96*103.6%</f>
        <v>10112.388747999999</v>
      </c>
    </row>
    <row r="97" spans="1:19" s="28" customFormat="1" ht="16.2" thickBot="1" x14ac:dyDescent="0.3">
      <c r="A97" s="89" t="s">
        <v>63</v>
      </c>
      <c r="B97" s="90" t="s">
        <v>135</v>
      </c>
      <c r="C97" s="91" t="s">
        <v>136</v>
      </c>
      <c r="D97" s="92">
        <f>D96/5200*100</f>
        <v>107.69230769230769</v>
      </c>
      <c r="E97" s="93">
        <f>E96/D96*100</f>
        <v>129.28571428571431</v>
      </c>
      <c r="F97" s="93">
        <f>F96/E96*100</f>
        <v>113.25966850828731</v>
      </c>
      <c r="G97" s="93">
        <f>G96/F96*100</f>
        <v>107.1</v>
      </c>
      <c r="H97" s="93">
        <v>99.813258636788049</v>
      </c>
      <c r="I97" s="93">
        <f t="shared" ref="I97:O97" si="42">I96/H96*100</f>
        <v>104.99897328252985</v>
      </c>
      <c r="J97" s="93">
        <f t="shared" si="42"/>
        <v>105.99739243807041</v>
      </c>
      <c r="K97" s="93">
        <f t="shared" si="42"/>
        <v>94.444444444444443</v>
      </c>
      <c r="L97" s="93">
        <f>L96/K96*100</f>
        <v>101.49772085956155</v>
      </c>
      <c r="M97" s="112">
        <f>M96/L96*100</f>
        <v>100.62018819503848</v>
      </c>
      <c r="N97" s="93">
        <f t="shared" si="42"/>
        <v>103</v>
      </c>
      <c r="O97" s="93">
        <f t="shared" si="42"/>
        <v>98.252427184466001</v>
      </c>
      <c r="P97" s="93">
        <f>P96/N96*100</f>
        <v>104.5</v>
      </c>
      <c r="Q97" s="93">
        <f>Q96/O96*100</f>
        <v>102.49999999999999</v>
      </c>
      <c r="R97" s="93">
        <f>R96/P96*100</f>
        <v>106.1</v>
      </c>
      <c r="S97" s="94">
        <f>S96/Q96*100</f>
        <v>103.60000000000001</v>
      </c>
    </row>
    <row r="98" spans="1:19" s="2" customFormat="1" x14ac:dyDescent="0.25">
      <c r="A98" s="95"/>
      <c r="B98" s="96"/>
      <c r="C98" s="96"/>
      <c r="D98" s="97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6"/>
      <c r="Q98" s="96"/>
      <c r="R98" s="96"/>
      <c r="S98" s="96"/>
    </row>
    <row r="99" spans="1:19" s="2" customFormat="1" x14ac:dyDescent="0.25">
      <c r="A99" s="1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9" s="2" customFormat="1" x14ac:dyDescent="0.25">
      <c r="A100" s="1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9" s="2" customFormat="1" ht="19.5" customHeight="1" x14ac:dyDescent="0.25">
      <c r="A101" s="125" t="s">
        <v>139</v>
      </c>
      <c r="B101" s="125"/>
      <c r="C101" s="125"/>
      <c r="D101" s="125"/>
      <c r="E101" s="125"/>
      <c r="F101" s="99"/>
      <c r="G101" s="99"/>
      <c r="H101" s="99"/>
      <c r="I101" s="99"/>
      <c r="J101" s="99"/>
      <c r="K101" s="99"/>
      <c r="L101" s="99"/>
      <c r="M101" s="99"/>
      <c r="N101" s="4"/>
      <c r="O101" s="4"/>
    </row>
    <row r="102" spans="1:19" s="2" customFormat="1" x14ac:dyDescent="0.25">
      <c r="A102" s="1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</sheetData>
  <mergeCells count="23">
    <mergeCell ref="A7:S7"/>
    <mergeCell ref="M9:M10"/>
    <mergeCell ref="N9:O9"/>
    <mergeCell ref="P9:Q9"/>
    <mergeCell ref="R9:S9"/>
    <mergeCell ref="K9:K10"/>
    <mergeCell ref="L9:L10"/>
    <mergeCell ref="N1:Q1"/>
    <mergeCell ref="N2:Q2"/>
    <mergeCell ref="N3:Q3"/>
    <mergeCell ref="A5:S5"/>
    <mergeCell ref="A6:S6"/>
    <mergeCell ref="A101:E101"/>
    <mergeCell ref="G9:G10"/>
    <mergeCell ref="H9:H10"/>
    <mergeCell ref="I9:I10"/>
    <mergeCell ref="J9:J10"/>
    <mergeCell ref="A9:A10"/>
    <mergeCell ref="B9:B10"/>
    <mergeCell ref="C9:C10"/>
    <mergeCell ref="D9:D10"/>
    <mergeCell ref="E9:E10"/>
    <mergeCell ref="F9:F10"/>
  </mergeCells>
  <printOptions horizontalCentered="1"/>
  <pageMargins left="0" right="0" top="0.39370078740157483" bottom="0.19685039370078741" header="0.19685039370078741" footer="0"/>
  <pageSetup paperSize="9" scale="63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CC"/>
    <pageSetUpPr fitToPage="1"/>
  </sheetPr>
  <dimension ref="A1:X102"/>
  <sheetViews>
    <sheetView tabSelected="1" zoomScale="75" workbookViewId="0">
      <pane ySplit="12" topLeftCell="A97" activePane="bottomLeft" state="frozen"/>
      <selection pane="bottomLeft" activeCell="P14" sqref="P14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6640625" style="2" hidden="1" customWidth="1" outlineLevel="1"/>
    <col min="5" max="6" width="11.6640625" style="6" hidden="1" customWidth="1" outlineLevel="1"/>
    <col min="7" max="12" width="11.33203125" style="2" hidden="1" customWidth="1" outlineLevel="1"/>
    <col min="13" max="13" width="11.33203125" style="2" customWidth="1" collapsed="1"/>
    <col min="14" max="15" width="11.33203125" style="2" customWidth="1"/>
    <col min="16" max="21" width="13" style="2" customWidth="1"/>
  </cols>
  <sheetData>
    <row r="1" spans="1:24" ht="18.75" customHeight="1" x14ac:dyDescent="0.3">
      <c r="D1" s="3"/>
      <c r="E1" s="4"/>
      <c r="F1" s="4"/>
      <c r="P1" s="136" t="s">
        <v>0</v>
      </c>
      <c r="Q1" s="136"/>
      <c r="R1" s="136"/>
      <c r="S1" s="136"/>
      <c r="T1" s="136"/>
      <c r="U1" s="136"/>
    </row>
    <row r="2" spans="1:24" ht="18.75" customHeight="1" x14ac:dyDescent="0.3">
      <c r="D2" s="3"/>
      <c r="E2" s="4"/>
      <c r="F2" s="4"/>
      <c r="P2" s="137" t="s">
        <v>1</v>
      </c>
      <c r="Q2" s="137"/>
      <c r="R2" s="137"/>
      <c r="S2" s="137"/>
      <c r="T2" s="137"/>
      <c r="U2" s="137"/>
    </row>
    <row r="3" spans="1:24" s="9" customFormat="1" ht="18.75" customHeight="1" x14ac:dyDescent="0.3">
      <c r="A3" s="5"/>
      <c r="B3" s="6"/>
      <c r="C3" s="6"/>
      <c r="D3" s="4"/>
      <c r="E3" s="4"/>
      <c r="F3" s="4"/>
      <c r="G3" s="7"/>
      <c r="H3" s="7"/>
      <c r="I3" s="7"/>
      <c r="J3" s="7"/>
      <c r="K3" s="7"/>
      <c r="L3" s="7"/>
      <c r="M3" s="7"/>
      <c r="N3" s="7"/>
      <c r="O3" s="7"/>
      <c r="P3" s="137" t="s">
        <v>164</v>
      </c>
      <c r="Q3" s="137"/>
      <c r="R3" s="137"/>
      <c r="S3" s="137"/>
      <c r="T3" s="137"/>
      <c r="U3" s="137"/>
    </row>
    <row r="4" spans="1:24" s="9" customFormat="1" ht="18.75" customHeight="1" x14ac:dyDescent="0.25">
      <c r="A4" s="5"/>
      <c r="B4" s="6"/>
      <c r="C4" s="6"/>
      <c r="D4" s="4"/>
      <c r="E4" s="4"/>
      <c r="F4" s="4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</row>
    <row r="5" spans="1:24" s="9" customFormat="1" ht="18.75" customHeight="1" x14ac:dyDescent="0.25">
      <c r="A5" s="138" t="s">
        <v>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</row>
    <row r="6" spans="1:24" s="9" customFormat="1" ht="18.75" customHeight="1" x14ac:dyDescent="0.25">
      <c r="A6" s="138" t="s">
        <v>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4" s="9" customFormat="1" ht="18.75" customHeight="1" x14ac:dyDescent="0.25">
      <c r="A7" s="138" t="s">
        <v>149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</row>
    <row r="8" spans="1:24" s="9" customFormat="1" ht="26.25" customHeight="1" thickBot="1" x14ac:dyDescent="0.3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</row>
    <row r="9" spans="1:24" s="9" customFormat="1" ht="26.25" customHeight="1" x14ac:dyDescent="0.25">
      <c r="A9" s="128" t="s">
        <v>5</v>
      </c>
      <c r="B9" s="130" t="s">
        <v>6</v>
      </c>
      <c r="C9" s="132" t="s">
        <v>7</v>
      </c>
      <c r="D9" s="130" t="s">
        <v>8</v>
      </c>
      <c r="E9" s="130" t="s">
        <v>9</v>
      </c>
      <c r="F9" s="126" t="s">
        <v>10</v>
      </c>
      <c r="G9" s="126" t="s">
        <v>11</v>
      </c>
      <c r="H9" s="126" t="s">
        <v>12</v>
      </c>
      <c r="I9" s="126" t="s">
        <v>13</v>
      </c>
      <c r="J9" s="126" t="s">
        <v>14</v>
      </c>
      <c r="K9" s="126" t="s">
        <v>15</v>
      </c>
      <c r="L9" s="126" t="s">
        <v>16</v>
      </c>
      <c r="M9" s="126" t="s">
        <v>143</v>
      </c>
      <c r="N9" s="126" t="s">
        <v>150</v>
      </c>
      <c r="O9" s="126" t="s">
        <v>151</v>
      </c>
      <c r="P9" s="139" t="s">
        <v>152</v>
      </c>
      <c r="Q9" s="140"/>
      <c r="R9" s="139" t="s">
        <v>148</v>
      </c>
      <c r="S9" s="140"/>
      <c r="T9" s="139" t="s">
        <v>153</v>
      </c>
      <c r="U9" s="141"/>
    </row>
    <row r="10" spans="1:24" s="14" customFormat="1" ht="47.4" thickBot="1" x14ac:dyDescent="0.3">
      <c r="A10" s="129"/>
      <c r="B10" s="131"/>
      <c r="C10" s="133"/>
      <c r="D10" s="134"/>
      <c r="E10" s="134"/>
      <c r="F10" s="135"/>
      <c r="G10" s="127"/>
      <c r="H10" s="127"/>
      <c r="I10" s="127"/>
      <c r="J10" s="127"/>
      <c r="K10" s="127"/>
      <c r="L10" s="127"/>
      <c r="M10" s="127"/>
      <c r="N10" s="127"/>
      <c r="O10" s="127"/>
      <c r="P10" s="104" t="s">
        <v>147</v>
      </c>
      <c r="Q10" s="113" t="s">
        <v>146</v>
      </c>
      <c r="R10" s="104" t="s">
        <v>147</v>
      </c>
      <c r="S10" s="113" t="s">
        <v>146</v>
      </c>
      <c r="T10" s="104" t="s">
        <v>147</v>
      </c>
      <c r="U10" s="114" t="s">
        <v>146</v>
      </c>
      <c r="X10" s="14">
        <v>23</v>
      </c>
    </row>
    <row r="11" spans="1:24" s="14" customFormat="1" ht="15.6" x14ac:dyDescent="0.25">
      <c r="A11" s="15" t="s">
        <v>23</v>
      </c>
      <c r="B11" s="16" t="s">
        <v>24</v>
      </c>
      <c r="C11" s="17"/>
      <c r="D11" s="18"/>
      <c r="E11" s="18"/>
      <c r="F11" s="18"/>
      <c r="G11" s="19"/>
      <c r="H11" s="19"/>
      <c r="I11" s="19"/>
      <c r="J11" s="19"/>
      <c r="K11" s="19"/>
      <c r="L11" s="19"/>
      <c r="M11" s="19"/>
      <c r="N11" s="19"/>
      <c r="O11" s="20"/>
      <c r="P11" s="20"/>
      <c r="Q11" s="21"/>
      <c r="R11" s="20"/>
      <c r="S11" s="21"/>
      <c r="T11" s="20"/>
      <c r="U11" s="22"/>
    </row>
    <row r="12" spans="1:24" s="28" customFormat="1" ht="35.25" customHeight="1" x14ac:dyDescent="0.25">
      <c r="A12" s="23" t="s">
        <v>25</v>
      </c>
      <c r="B12" s="24" t="s">
        <v>26</v>
      </c>
      <c r="C12" s="25" t="s">
        <v>27</v>
      </c>
      <c r="D12" s="26" t="e">
        <f>D14+D18+D19+D20+D21+#REF!</f>
        <v>#REF!</v>
      </c>
      <c r="E12" s="26">
        <v>1179481</v>
      </c>
      <c r="F12" s="26">
        <f>806483/9*12</f>
        <v>1075310.6666666665</v>
      </c>
      <c r="G12" s="26">
        <v>2954984</v>
      </c>
      <c r="H12" s="26">
        <v>3035894</v>
      </c>
      <c r="I12" s="26" t="e">
        <f>I13+I14+I19+I20+I21+I22+#REF!</f>
        <v>#REF!</v>
      </c>
      <c r="J12" s="26" t="e">
        <f>J13+J14+J18+J19+J20+J21+J22+#REF!+J23+J24</f>
        <v>#REF!</v>
      </c>
      <c r="K12" s="26" t="e">
        <f>K13+K14+K18+K19+K20+K21+K22+#REF!+K23+K24</f>
        <v>#REF!</v>
      </c>
      <c r="L12" s="26" t="e">
        <f>L13+L14+L18+L19+L20+L21+L22+#REF!+L23+L24</f>
        <v>#REF!</v>
      </c>
      <c r="M12" s="26">
        <v>3077000</v>
      </c>
      <c r="N12" s="26">
        <f t="shared" ref="N12:U12" si="0">N13+N14+N18+N19+N20+N21+N22+N23+N24</f>
        <v>5282342.6900000004</v>
      </c>
      <c r="O12" s="26">
        <f t="shared" si="0"/>
        <v>4494076</v>
      </c>
      <c r="P12" s="26">
        <f t="shared" si="0"/>
        <v>4557934.9744000006</v>
      </c>
      <c r="Q12" s="26">
        <f t="shared" si="0"/>
        <v>4757196.1179999998</v>
      </c>
      <c r="R12" s="26">
        <f t="shared" si="0"/>
        <v>4615598.0067328</v>
      </c>
      <c r="S12" s="26">
        <f t="shared" si="0"/>
        <v>4923169.4235920003</v>
      </c>
      <c r="T12" s="26">
        <f t="shared" si="0"/>
        <v>4814011.9809762137</v>
      </c>
      <c r="U12" s="27">
        <f t="shared" si="0"/>
        <v>5042838.7328108959</v>
      </c>
    </row>
    <row r="13" spans="1:24" s="28" customFormat="1" ht="15.6" x14ac:dyDescent="0.25">
      <c r="A13" s="23" t="s">
        <v>28</v>
      </c>
      <c r="B13" s="24" t="s">
        <v>29</v>
      </c>
      <c r="C13" s="25" t="s">
        <v>27</v>
      </c>
      <c r="D13" s="26">
        <v>1714082</v>
      </c>
      <c r="E13" s="29">
        <v>1714928.8</v>
      </c>
      <c r="F13" s="29"/>
      <c r="G13" s="26">
        <f>E13*0.98</f>
        <v>1680630.2239999999</v>
      </c>
      <c r="H13" s="26">
        <v>1769703.6258719999</v>
      </c>
      <c r="I13" s="26">
        <v>1185192</v>
      </c>
      <c r="J13" s="26">
        <v>1782799</v>
      </c>
      <c r="K13" s="26">
        <f>I13*1.005</f>
        <v>1191117.96</v>
      </c>
      <c r="L13" s="26">
        <f>J13*1.005</f>
        <v>1791712.9949999999</v>
      </c>
      <c r="M13" s="26">
        <v>1179200</v>
      </c>
      <c r="N13" s="26">
        <f>M13*100.5/100/12*12</f>
        <v>1185096</v>
      </c>
      <c r="O13" s="26">
        <f>M13*100.5/100</f>
        <v>1185096</v>
      </c>
      <c r="P13" s="26">
        <f>O13*103.89%</f>
        <v>1231196.2344</v>
      </c>
      <c r="Q13" s="26">
        <f>O13*104.3%</f>
        <v>1236055.128</v>
      </c>
      <c r="R13" s="26">
        <f>P13*103.7%</f>
        <v>1276750.4950728</v>
      </c>
      <c r="S13" s="26">
        <f>Q13*104.4%</f>
        <v>1290441.553632</v>
      </c>
      <c r="T13" s="26">
        <f>R13*103.7%</f>
        <v>1323990.2633904936</v>
      </c>
      <c r="U13" s="27">
        <f>S13*104.3%</f>
        <v>1345930.5404381759</v>
      </c>
    </row>
    <row r="14" spans="1:24" s="28" customFormat="1" ht="46.8" x14ac:dyDescent="0.25">
      <c r="A14" s="23" t="s">
        <v>30</v>
      </c>
      <c r="B14" s="30" t="s">
        <v>31</v>
      </c>
      <c r="C14" s="25" t="s">
        <v>27</v>
      </c>
      <c r="D14" s="26">
        <f>D15+D16+D17</f>
        <v>83928</v>
      </c>
      <c r="E14" s="26">
        <f>E15+E16+E17</f>
        <v>91759</v>
      </c>
      <c r="F14" s="26">
        <f>F15+F16+F17</f>
        <v>80271.7</v>
      </c>
      <c r="G14" s="26">
        <f>F14*0.98</f>
        <v>78666.265999999989</v>
      </c>
      <c r="H14" s="26">
        <v>82835.578097999984</v>
      </c>
      <c r="I14" s="26">
        <v>87800</v>
      </c>
      <c r="J14" s="26">
        <v>106747</v>
      </c>
      <c r="K14" s="26">
        <f t="shared" ref="K14:P14" si="1">K15+K16+K17</f>
        <v>107886</v>
      </c>
      <c r="L14" s="26">
        <f t="shared" si="1"/>
        <v>108442</v>
      </c>
      <c r="M14" s="26">
        <f t="shared" si="1"/>
        <v>110612</v>
      </c>
      <c r="N14" s="26">
        <f t="shared" si="1"/>
        <v>111718</v>
      </c>
      <c r="O14" s="26">
        <f t="shared" si="1"/>
        <v>111718</v>
      </c>
      <c r="P14" s="26">
        <f t="shared" si="1"/>
        <v>112835.18000000001</v>
      </c>
      <c r="Q14" s="26">
        <f t="shared" ref="Q14:U14" si="2">Q15+Q16+Q17</f>
        <v>112835.18000000001</v>
      </c>
      <c r="R14" s="26">
        <f t="shared" si="2"/>
        <v>113060.85036000001</v>
      </c>
      <c r="S14" s="26">
        <f t="shared" si="2"/>
        <v>113060.85036000001</v>
      </c>
      <c r="T14" s="26">
        <f t="shared" si="2"/>
        <v>113286.97206072001</v>
      </c>
      <c r="U14" s="27">
        <f t="shared" si="2"/>
        <v>113286.97206072001</v>
      </c>
    </row>
    <row r="15" spans="1:24" s="28" customFormat="1" ht="15.6" x14ac:dyDescent="0.25">
      <c r="A15" s="31"/>
      <c r="B15" s="32" t="s">
        <v>32</v>
      </c>
      <c r="C15" s="25" t="s">
        <v>27</v>
      </c>
      <c r="D15" s="33">
        <v>58626</v>
      </c>
      <c r="E15" s="33">
        <v>66960</v>
      </c>
      <c r="F15" s="33">
        <v>54204</v>
      </c>
      <c r="G15" s="26">
        <f>F15*1.1</f>
        <v>59624.4</v>
      </c>
      <c r="H15" s="26">
        <v>62784.493199999997</v>
      </c>
      <c r="I15" s="26">
        <v>58000</v>
      </c>
      <c r="J15" s="26">
        <v>72054.7</v>
      </c>
      <c r="K15" s="26">
        <v>73486</v>
      </c>
      <c r="L15" s="26">
        <v>74049</v>
      </c>
      <c r="M15" s="26">
        <v>75530</v>
      </c>
      <c r="N15" s="26">
        <f>76285/12*12</f>
        <v>76285</v>
      </c>
      <c r="O15" s="26">
        <v>76285</v>
      </c>
      <c r="P15" s="26">
        <f t="shared" ref="P15:P21" si="3">O15*101%</f>
        <v>77047.850000000006</v>
      </c>
      <c r="Q15" s="26">
        <f>O15*101%</f>
        <v>77047.850000000006</v>
      </c>
      <c r="R15" s="26">
        <f t="shared" ref="R15:U17" si="4">P15*100.2%</f>
        <v>77201.945700000011</v>
      </c>
      <c r="S15" s="26">
        <f t="shared" si="4"/>
        <v>77201.945700000011</v>
      </c>
      <c r="T15" s="26">
        <f t="shared" si="4"/>
        <v>77356.349591400009</v>
      </c>
      <c r="U15" s="27">
        <f t="shared" si="4"/>
        <v>77356.349591400009</v>
      </c>
    </row>
    <row r="16" spans="1:24" s="28" customFormat="1" ht="15.6" x14ac:dyDescent="0.25">
      <c r="A16" s="31"/>
      <c r="B16" s="32" t="s">
        <v>33</v>
      </c>
      <c r="C16" s="25" t="s">
        <v>27</v>
      </c>
      <c r="D16" s="33">
        <v>13797</v>
      </c>
      <c r="E16" s="33">
        <v>13523</v>
      </c>
      <c r="F16" s="33">
        <v>13058.7</v>
      </c>
      <c r="G16" s="26">
        <f>F16*1.07</f>
        <v>13972.809000000001</v>
      </c>
      <c r="H16" s="26">
        <v>14713.367877000001</v>
      </c>
      <c r="I16" s="26">
        <v>14950</v>
      </c>
      <c r="J16" s="26">
        <f>355.1*72.22</f>
        <v>25645.322</v>
      </c>
      <c r="K16" s="26">
        <v>25700</v>
      </c>
      <c r="L16" s="26">
        <v>25563</v>
      </c>
      <c r="M16" s="26">
        <v>26075</v>
      </c>
      <c r="N16" s="26">
        <f>26336/12*12</f>
        <v>26336</v>
      </c>
      <c r="O16" s="26">
        <v>26336</v>
      </c>
      <c r="P16" s="26">
        <f t="shared" si="3"/>
        <v>26599.360000000001</v>
      </c>
      <c r="Q16" s="26">
        <f>O16*101%</f>
        <v>26599.360000000001</v>
      </c>
      <c r="R16" s="26">
        <f t="shared" si="4"/>
        <v>26652.558720000001</v>
      </c>
      <c r="S16" s="26">
        <f t="shared" si="4"/>
        <v>26652.558720000001</v>
      </c>
      <c r="T16" s="26">
        <f t="shared" si="4"/>
        <v>26705.86383744</v>
      </c>
      <c r="U16" s="27">
        <f t="shared" si="4"/>
        <v>26705.86383744</v>
      </c>
    </row>
    <row r="17" spans="1:21" s="28" customFormat="1" ht="15.6" x14ac:dyDescent="0.25">
      <c r="A17" s="31"/>
      <c r="B17" s="32" t="s">
        <v>34</v>
      </c>
      <c r="C17" s="25" t="s">
        <v>27</v>
      </c>
      <c r="D17" s="33">
        <v>11505</v>
      </c>
      <c r="E17" s="33">
        <v>11276</v>
      </c>
      <c r="F17" s="33">
        <v>13009</v>
      </c>
      <c r="G17" s="26">
        <f>F17*1.07</f>
        <v>13919.630000000001</v>
      </c>
      <c r="H17" s="26">
        <v>14657.37039</v>
      </c>
      <c r="I17" s="26">
        <v>14850</v>
      </c>
      <c r="J17" s="26">
        <f>53.2*161.64</f>
        <v>8599.2479999999996</v>
      </c>
      <c r="K17" s="26">
        <v>8700</v>
      </c>
      <c r="L17" s="26">
        <v>8830</v>
      </c>
      <c r="M17" s="26">
        <v>9007</v>
      </c>
      <c r="N17" s="26">
        <f>9097/12*12</f>
        <v>9097</v>
      </c>
      <c r="O17" s="26">
        <v>9097</v>
      </c>
      <c r="P17" s="26">
        <f t="shared" si="3"/>
        <v>9187.9699999999993</v>
      </c>
      <c r="Q17" s="26">
        <f>O17*101%</f>
        <v>9187.9699999999993</v>
      </c>
      <c r="R17" s="26">
        <f t="shared" si="4"/>
        <v>9206.3459399999992</v>
      </c>
      <c r="S17" s="26">
        <f t="shared" si="4"/>
        <v>9206.3459399999992</v>
      </c>
      <c r="T17" s="26">
        <f t="shared" si="4"/>
        <v>9224.7586318799986</v>
      </c>
      <c r="U17" s="27">
        <f t="shared" si="4"/>
        <v>9224.7586318799986</v>
      </c>
    </row>
    <row r="18" spans="1:21" s="28" customFormat="1" ht="15.6" x14ac:dyDescent="0.25">
      <c r="A18" s="23" t="s">
        <v>35</v>
      </c>
      <c r="B18" s="30" t="s">
        <v>36</v>
      </c>
      <c r="C18" s="25" t="s">
        <v>27</v>
      </c>
      <c r="D18" s="34">
        <v>6188.52</v>
      </c>
      <c r="E18" s="34">
        <v>7680</v>
      </c>
      <c r="F18" s="34">
        <v>7680</v>
      </c>
      <c r="G18" s="26">
        <v>8432.6</v>
      </c>
      <c r="H18" s="26">
        <v>7646.2080000000005</v>
      </c>
      <c r="I18" s="36">
        <v>7890</v>
      </c>
      <c r="J18" s="36">
        <f>J28*38</f>
        <v>4715.8</v>
      </c>
      <c r="K18" s="36">
        <v>5600</v>
      </c>
      <c r="L18" s="36">
        <v>4904.45</v>
      </c>
      <c r="M18" s="36">
        <v>0</v>
      </c>
      <c r="N18" s="36">
        <v>0</v>
      </c>
      <c r="O18" s="36">
        <v>0</v>
      </c>
      <c r="P18" s="36">
        <f t="shared" si="3"/>
        <v>0</v>
      </c>
      <c r="Q18" s="36">
        <f>O18*100%</f>
        <v>0</v>
      </c>
      <c r="R18" s="36">
        <f>P18*100.3%</f>
        <v>0</v>
      </c>
      <c r="S18" s="36">
        <f>Q18*100.1%</f>
        <v>0</v>
      </c>
      <c r="T18" s="36">
        <f>R18*100.2%</f>
        <v>0</v>
      </c>
      <c r="U18" s="37">
        <f>S18*100.1%</f>
        <v>0</v>
      </c>
    </row>
    <row r="19" spans="1:21" s="28" customFormat="1" ht="15.6" x14ac:dyDescent="0.25">
      <c r="A19" s="38" t="s">
        <v>37</v>
      </c>
      <c r="B19" s="30" t="s">
        <v>38</v>
      </c>
      <c r="C19" s="25" t="s">
        <v>27</v>
      </c>
      <c r="D19" s="33">
        <v>852084</v>
      </c>
      <c r="E19" s="33">
        <v>835041</v>
      </c>
      <c r="F19" s="33">
        <v>891415</v>
      </c>
      <c r="G19" s="26">
        <v>893112</v>
      </c>
      <c r="H19" s="26">
        <v>971815.80599999998</v>
      </c>
      <c r="I19" s="36">
        <v>988960</v>
      </c>
      <c r="J19" s="36">
        <v>1695233</v>
      </c>
      <c r="K19" s="26">
        <v>1783325</v>
      </c>
      <c r="L19" s="26">
        <v>1628714</v>
      </c>
      <c r="M19" s="116">
        <v>1640660</v>
      </c>
      <c r="N19" s="116">
        <v>3297631</v>
      </c>
      <c r="O19" s="26">
        <v>2540350</v>
      </c>
      <c r="P19" s="36">
        <f t="shared" si="3"/>
        <v>2565753.5</v>
      </c>
      <c r="Q19" s="26">
        <f>O19*108%</f>
        <v>2743578</v>
      </c>
      <c r="R19" s="26">
        <f>P19*100.3%</f>
        <v>2573450.7604999999</v>
      </c>
      <c r="S19" s="26">
        <f>Q19*103%</f>
        <v>2825885.34</v>
      </c>
      <c r="T19" s="26">
        <f>R19*1.05</f>
        <v>2702123.298525</v>
      </c>
      <c r="U19" s="27">
        <f t="shared" ref="U19" si="5">S19*101%</f>
        <v>2854144.1933999998</v>
      </c>
    </row>
    <row r="20" spans="1:21" s="28" customFormat="1" ht="15.6" x14ac:dyDescent="0.25">
      <c r="A20" s="38" t="s">
        <v>39</v>
      </c>
      <c r="B20" s="32" t="s">
        <v>40</v>
      </c>
      <c r="C20" s="25" t="s">
        <v>27</v>
      </c>
      <c r="D20" s="33">
        <v>7958</v>
      </c>
      <c r="E20" s="33">
        <v>64624</v>
      </c>
      <c r="F20" s="33">
        <v>64624</v>
      </c>
      <c r="G20" s="26">
        <v>65916.5</v>
      </c>
      <c r="H20" s="26">
        <v>66018.887999999992</v>
      </c>
      <c r="I20" s="36">
        <v>61400</v>
      </c>
      <c r="J20" s="36">
        <v>66523</v>
      </c>
      <c r="K20" s="26">
        <v>67854</v>
      </c>
      <c r="L20" s="26">
        <v>67855</v>
      </c>
      <c r="M20" s="26">
        <v>70050</v>
      </c>
      <c r="N20" s="26">
        <f>70050/12*12</f>
        <v>70050</v>
      </c>
      <c r="O20" s="26">
        <v>72852</v>
      </c>
      <c r="P20" s="36">
        <f t="shared" si="3"/>
        <v>73580.52</v>
      </c>
      <c r="Q20" s="26">
        <f>O20*103%</f>
        <v>75037.56</v>
      </c>
      <c r="R20" s="26">
        <f>P20*1.01</f>
        <v>74316.325200000007</v>
      </c>
      <c r="S20" s="26">
        <f>Q20*1.03</f>
        <v>77288.686799999996</v>
      </c>
      <c r="T20" s="26">
        <f>R20*1.01</f>
        <v>75059.488452000005</v>
      </c>
      <c r="U20" s="27">
        <f>S20*1.03</f>
        <v>79607.347404</v>
      </c>
    </row>
    <row r="21" spans="1:21" s="28" customFormat="1" ht="15.6" x14ac:dyDescent="0.25">
      <c r="A21" s="38" t="s">
        <v>41</v>
      </c>
      <c r="B21" s="32" t="s">
        <v>42</v>
      </c>
      <c r="C21" s="25" t="s">
        <v>27</v>
      </c>
      <c r="D21" s="33">
        <v>31911.84</v>
      </c>
      <c r="E21" s="33">
        <v>31275</v>
      </c>
      <c r="F21" s="33">
        <v>31275</v>
      </c>
      <c r="G21" s="26">
        <v>34371.199999999997</v>
      </c>
      <c r="H21" s="26">
        <v>32273.923499999997</v>
      </c>
      <c r="I21" s="36">
        <v>31250</v>
      </c>
      <c r="J21" s="36">
        <v>29105</v>
      </c>
      <c r="K21" s="26">
        <v>29000</v>
      </c>
      <c r="L21" s="26">
        <v>26519</v>
      </c>
      <c r="M21" s="26">
        <v>26254</v>
      </c>
      <c r="N21" s="26">
        <f>26258/12*12</f>
        <v>26258</v>
      </c>
      <c r="O21" s="26">
        <v>26258</v>
      </c>
      <c r="P21" s="36">
        <f t="shared" si="3"/>
        <v>26520.58</v>
      </c>
      <c r="Q21" s="26">
        <f>O21*103%</f>
        <v>27045.74</v>
      </c>
      <c r="R21" s="26">
        <f>P21*1.01</f>
        <v>26785.785800000001</v>
      </c>
      <c r="S21" s="26">
        <f>Q21*1.03</f>
        <v>27857.112200000003</v>
      </c>
      <c r="T21" s="26">
        <f>R21*1.01</f>
        <v>27053.643658000001</v>
      </c>
      <c r="U21" s="27">
        <f>S21*1.03</f>
        <v>28692.825566000003</v>
      </c>
    </row>
    <row r="22" spans="1:21" s="28" customFormat="1" ht="15.6" outlineLevel="1" x14ac:dyDescent="0.25">
      <c r="A22" s="38" t="s">
        <v>43</v>
      </c>
      <c r="B22" s="123" t="s">
        <v>158</v>
      </c>
      <c r="C22" s="25" t="s">
        <v>27</v>
      </c>
      <c r="D22" s="33"/>
      <c r="E22" s="33">
        <v>149067</v>
      </c>
      <c r="F22" s="33">
        <v>149100</v>
      </c>
      <c r="G22" s="26">
        <f>F22*1.3</f>
        <v>193830</v>
      </c>
      <c r="H22" s="26">
        <v>105600</v>
      </c>
      <c r="I22" s="26">
        <v>0</v>
      </c>
      <c r="J22" s="26">
        <v>0</v>
      </c>
      <c r="K22" s="26">
        <v>0</v>
      </c>
      <c r="L22" s="26"/>
      <c r="M22" s="26"/>
      <c r="N22" s="36">
        <v>145787.69</v>
      </c>
      <c r="O22" s="26">
        <v>140300</v>
      </c>
      <c r="P22" s="26">
        <f>O22*0.99</f>
        <v>138897</v>
      </c>
      <c r="Q22" s="26">
        <f>O22*1.02</f>
        <v>143106</v>
      </c>
      <c r="R22" s="26">
        <f>P22*1.01</f>
        <v>140285.97</v>
      </c>
      <c r="S22" s="26">
        <f>Q22*1.01</f>
        <v>144537.06</v>
      </c>
      <c r="T22" s="26">
        <f>R22*1.01</f>
        <v>141688.8297</v>
      </c>
      <c r="U22" s="27">
        <f>S22*1.015</f>
        <v>146705.11589999998</v>
      </c>
    </row>
    <row r="23" spans="1:21" s="28" customFormat="1" ht="15.6" outlineLevel="1" x14ac:dyDescent="0.25">
      <c r="A23" s="38" t="s">
        <v>43</v>
      </c>
      <c r="B23" s="32" t="s">
        <v>159</v>
      </c>
      <c r="C23" s="25" t="s">
        <v>27</v>
      </c>
      <c r="D23" s="33"/>
      <c r="E23" s="33"/>
      <c r="F23" s="33"/>
      <c r="G23" s="26"/>
      <c r="H23" s="26"/>
      <c r="I23" s="26"/>
      <c r="J23" s="26">
        <v>56936</v>
      </c>
      <c r="K23" s="26">
        <v>0</v>
      </c>
      <c r="L23" s="26">
        <v>0</v>
      </c>
      <c r="M23" s="26"/>
      <c r="N23" s="26">
        <v>427502</v>
      </c>
      <c r="O23" s="26">
        <v>407302</v>
      </c>
      <c r="P23" s="26">
        <f>O23*0.98</f>
        <v>399155.96</v>
      </c>
      <c r="Q23" s="26">
        <f>O23*1.005</f>
        <v>409338.50999999995</v>
      </c>
      <c r="R23" s="26">
        <f>P23*1.005</f>
        <v>401151.73979999998</v>
      </c>
      <c r="S23" s="26">
        <f>Q23*1.06</f>
        <v>433898.82059999998</v>
      </c>
      <c r="T23" s="26">
        <f>R23*1.05</f>
        <v>421209.32679000002</v>
      </c>
      <c r="U23" s="27">
        <f>S23*1.07</f>
        <v>464271.73804199998</v>
      </c>
    </row>
    <row r="24" spans="1:21" s="28" customFormat="1" ht="15.6" x14ac:dyDescent="0.25">
      <c r="A24" s="38" t="s">
        <v>43</v>
      </c>
      <c r="B24" s="32" t="s">
        <v>46</v>
      </c>
      <c r="C24" s="25" t="s">
        <v>27</v>
      </c>
      <c r="D24" s="33"/>
      <c r="E24" s="33"/>
      <c r="F24" s="33"/>
      <c r="G24" s="26"/>
      <c r="H24" s="26"/>
      <c r="I24" s="26"/>
      <c r="J24" s="26">
        <v>101934</v>
      </c>
      <c r="K24" s="26">
        <v>50200</v>
      </c>
      <c r="L24" s="26">
        <v>48300</v>
      </c>
      <c r="M24" s="26">
        <v>20130</v>
      </c>
      <c r="N24" s="26">
        <f>18300/12*12</f>
        <v>18300</v>
      </c>
      <c r="O24" s="26">
        <v>10200</v>
      </c>
      <c r="P24" s="26">
        <f>O24*98%</f>
        <v>9996</v>
      </c>
      <c r="Q24" s="26">
        <f>O24*1</f>
        <v>10200</v>
      </c>
      <c r="R24" s="26">
        <f>P24*98%</f>
        <v>9796.08</v>
      </c>
      <c r="S24" s="26">
        <f>Q24*1</f>
        <v>10200</v>
      </c>
      <c r="T24" s="26">
        <f>R24*98%</f>
        <v>9600.1584000000003</v>
      </c>
      <c r="U24" s="27">
        <f>S24*1</f>
        <v>10200</v>
      </c>
    </row>
    <row r="25" spans="1:21" s="28" customFormat="1" ht="46.8" x14ac:dyDescent="0.25">
      <c r="A25" s="23" t="s">
        <v>49</v>
      </c>
      <c r="B25" s="30" t="s">
        <v>50</v>
      </c>
      <c r="C25" s="25" t="s">
        <v>51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39"/>
      <c r="P25" s="39"/>
      <c r="Q25" s="39"/>
      <c r="R25" s="39"/>
      <c r="S25" s="39"/>
      <c r="T25" s="39"/>
      <c r="U25" s="40"/>
    </row>
    <row r="26" spans="1:21" s="28" customFormat="1" ht="15.6" x14ac:dyDescent="0.25">
      <c r="A26" s="23"/>
      <c r="B26" s="30" t="s">
        <v>52</v>
      </c>
      <c r="C26" s="25" t="s">
        <v>53</v>
      </c>
      <c r="D26" s="29">
        <f>50.8*1.011</f>
        <v>51.358799999999995</v>
      </c>
      <c r="E26" s="29">
        <v>47.75</v>
      </c>
      <c r="F26" s="29">
        <v>45.3</v>
      </c>
      <c r="G26" s="29">
        <f>F26*0.98</f>
        <v>44.393999999999998</v>
      </c>
      <c r="H26" s="29">
        <v>45.104303999999999</v>
      </c>
      <c r="I26" s="29">
        <v>42.8</v>
      </c>
      <c r="J26" s="29">
        <v>42.5</v>
      </c>
      <c r="K26" s="46">
        <v>43.3</v>
      </c>
      <c r="L26" s="46">
        <v>43.2</v>
      </c>
      <c r="M26" s="46">
        <v>43.3</v>
      </c>
      <c r="N26" s="46">
        <f>43.3/12*12</f>
        <v>43.3</v>
      </c>
      <c r="O26" s="46">
        <v>43.3</v>
      </c>
      <c r="P26" s="29">
        <f>O26*101%</f>
        <v>43.732999999999997</v>
      </c>
      <c r="Q26" s="46">
        <f>O26*101%</f>
        <v>43.732999999999997</v>
      </c>
      <c r="R26" s="29">
        <f t="shared" ref="R26:U27" si="6">P26*100.2%</f>
        <v>43.820465999999996</v>
      </c>
      <c r="S26" s="29">
        <f t="shared" si="6"/>
        <v>43.820465999999996</v>
      </c>
      <c r="T26" s="29">
        <f t="shared" si="6"/>
        <v>43.908106931999995</v>
      </c>
      <c r="U26" s="47">
        <f t="shared" si="6"/>
        <v>43.908106931999995</v>
      </c>
    </row>
    <row r="27" spans="1:21" s="28" customFormat="1" ht="15.6" x14ac:dyDescent="0.25">
      <c r="A27" s="23"/>
      <c r="B27" s="30" t="s">
        <v>54</v>
      </c>
      <c r="C27" s="25" t="s">
        <v>55</v>
      </c>
      <c r="D27" s="26">
        <v>523.5</v>
      </c>
      <c r="E27" s="29">
        <v>429</v>
      </c>
      <c r="F27" s="29">
        <v>510.7</v>
      </c>
      <c r="G27" s="29">
        <f>F27*0.98</f>
        <v>500.48599999999999</v>
      </c>
      <c r="H27" s="29">
        <v>508.49377600000003</v>
      </c>
      <c r="I27" s="29">
        <v>505.6</v>
      </c>
      <c r="J27" s="29">
        <v>408.3</v>
      </c>
      <c r="K27" s="46">
        <v>409.2</v>
      </c>
      <c r="L27" s="46">
        <v>401</v>
      </c>
      <c r="M27" s="46">
        <v>409.6</v>
      </c>
      <c r="N27" s="46">
        <f>409.6/12*12</f>
        <v>409.6</v>
      </c>
      <c r="O27" s="46">
        <v>409.6</v>
      </c>
      <c r="P27" s="29">
        <f>O27*101%</f>
        <v>413.69600000000003</v>
      </c>
      <c r="Q27" s="46">
        <f>O27*101%</f>
        <v>413.69600000000003</v>
      </c>
      <c r="R27" s="29">
        <f t="shared" si="6"/>
        <v>414.523392</v>
      </c>
      <c r="S27" s="29">
        <f t="shared" si="6"/>
        <v>414.523392</v>
      </c>
      <c r="T27" s="29">
        <f t="shared" si="6"/>
        <v>415.35243878400001</v>
      </c>
      <c r="U27" s="47">
        <f t="shared" si="6"/>
        <v>415.35243878400001</v>
      </c>
    </row>
    <row r="28" spans="1:21" s="28" customFormat="1" ht="15.6" x14ac:dyDescent="0.25">
      <c r="A28" s="48" t="s">
        <v>56</v>
      </c>
      <c r="B28" s="30" t="s">
        <v>57</v>
      </c>
      <c r="C28" s="25" t="s">
        <v>58</v>
      </c>
      <c r="D28" s="42">
        <v>213.4</v>
      </c>
      <c r="E28" s="42">
        <v>213.3</v>
      </c>
      <c r="F28" s="42">
        <v>214</v>
      </c>
      <c r="G28" s="42">
        <f>F28*1.1</f>
        <v>235.4</v>
      </c>
      <c r="H28" s="42">
        <v>246.69920000000002</v>
      </c>
      <c r="I28" s="49">
        <v>225.3</v>
      </c>
      <c r="J28" s="49">
        <v>124.1</v>
      </c>
      <c r="K28" s="42">
        <v>147.4</v>
      </c>
      <c r="L28" s="42">
        <v>125.3</v>
      </c>
      <c r="M28" s="42">
        <v>0</v>
      </c>
      <c r="N28" s="42">
        <v>0</v>
      </c>
      <c r="O28" s="42">
        <v>0</v>
      </c>
      <c r="P28" s="49">
        <f t="shared" ref="P28" si="7">O28*102%</f>
        <v>0</v>
      </c>
      <c r="Q28" s="42">
        <f>O28*1</f>
        <v>0</v>
      </c>
      <c r="R28" s="42">
        <f>P28*1.005</f>
        <v>0</v>
      </c>
      <c r="S28" s="42">
        <f>Q28*1.005</f>
        <v>0</v>
      </c>
      <c r="T28" s="42">
        <f>R28*1.006</f>
        <v>0</v>
      </c>
      <c r="U28" s="50">
        <f>S28*1.006</f>
        <v>0</v>
      </c>
    </row>
    <row r="29" spans="1:21" s="28" customFormat="1" ht="15.6" x14ac:dyDescent="0.25">
      <c r="A29" s="23" t="s">
        <v>59</v>
      </c>
      <c r="B29" s="30" t="s">
        <v>38</v>
      </c>
      <c r="C29" s="25" t="s">
        <v>60</v>
      </c>
      <c r="D29" s="26">
        <v>1298</v>
      </c>
      <c r="E29" s="26">
        <v>1297</v>
      </c>
      <c r="F29" s="26">
        <v>1328</v>
      </c>
      <c r="G29" s="26">
        <f>F29*1.1</f>
        <v>1460.8000000000002</v>
      </c>
      <c r="H29" s="26">
        <v>1538.2224000000001</v>
      </c>
      <c r="I29" s="26">
        <v>1519</v>
      </c>
      <c r="J29" s="26">
        <v>2401</v>
      </c>
      <c r="K29" s="26">
        <v>2526</v>
      </c>
      <c r="L29" s="26">
        <v>2307</v>
      </c>
      <c r="M29" s="116">
        <v>2526</v>
      </c>
      <c r="N29" s="116">
        <v>2238</v>
      </c>
      <c r="O29" s="26">
        <v>1724</v>
      </c>
      <c r="P29" s="26">
        <f>O29*1.06</f>
        <v>1827.44</v>
      </c>
      <c r="Q29" s="26">
        <f>O29*1.12</f>
        <v>1930.88</v>
      </c>
      <c r="R29" s="26">
        <f>P29*1.08</f>
        <v>1973.6352000000002</v>
      </c>
      <c r="S29" s="26">
        <f>Q29*1.12</f>
        <v>2162.5856000000003</v>
      </c>
      <c r="T29" s="26">
        <f>R29*1.08</f>
        <v>2131.5260160000003</v>
      </c>
      <c r="U29" s="27">
        <f>S29*1.12</f>
        <v>2422.0958720000008</v>
      </c>
    </row>
    <row r="30" spans="1:21" s="28" customFormat="1" ht="15.6" x14ac:dyDescent="0.25">
      <c r="A30" s="23" t="s">
        <v>61</v>
      </c>
      <c r="B30" s="32" t="s">
        <v>40</v>
      </c>
      <c r="C30" s="25" t="s">
        <v>62</v>
      </c>
      <c r="D30" s="26">
        <v>20041</v>
      </c>
      <c r="E30" s="26">
        <v>41821</v>
      </c>
      <c r="F30" s="26">
        <v>43524</v>
      </c>
      <c r="G30" s="26">
        <v>44120</v>
      </c>
      <c r="H30" s="26">
        <v>50413.849199999997</v>
      </c>
      <c r="I30" s="26">
        <v>50799</v>
      </c>
      <c r="J30" s="26">
        <v>49952</v>
      </c>
      <c r="K30" s="26">
        <v>50951</v>
      </c>
      <c r="L30" s="26">
        <v>50951</v>
      </c>
      <c r="M30" s="26">
        <v>51000</v>
      </c>
      <c r="N30" s="26">
        <f>51000/12*12</f>
        <v>51000</v>
      </c>
      <c r="O30" s="26">
        <v>51000</v>
      </c>
      <c r="P30" s="26">
        <v>51000</v>
      </c>
      <c r="Q30" s="26">
        <f>O30*1.01</f>
        <v>51510</v>
      </c>
      <c r="R30" s="26">
        <f>P30</f>
        <v>51000</v>
      </c>
      <c r="S30" s="26">
        <f>Q30*1</f>
        <v>51510</v>
      </c>
      <c r="T30" s="26">
        <f>R30</f>
        <v>51000</v>
      </c>
      <c r="U30" s="27">
        <f>S30*1.002</f>
        <v>51613.02</v>
      </c>
    </row>
    <row r="31" spans="1:21" s="28" customFormat="1" ht="15.6" x14ac:dyDescent="0.25">
      <c r="A31" s="23" t="s">
        <v>63</v>
      </c>
      <c r="B31" s="32" t="s">
        <v>42</v>
      </c>
      <c r="C31" s="25" t="s">
        <v>60</v>
      </c>
      <c r="D31" s="26">
        <v>500</v>
      </c>
      <c r="E31" s="26">
        <v>491</v>
      </c>
      <c r="F31" s="26">
        <v>513</v>
      </c>
      <c r="G31" s="26">
        <f>F31*1.1</f>
        <v>564.30000000000007</v>
      </c>
      <c r="H31" s="26">
        <v>594.2079</v>
      </c>
      <c r="I31" s="26">
        <v>598</v>
      </c>
      <c r="J31" s="26">
        <v>528</v>
      </c>
      <c r="K31" s="26">
        <v>526</v>
      </c>
      <c r="L31" s="26">
        <v>481</v>
      </c>
      <c r="M31" s="26">
        <v>515</v>
      </c>
      <c r="N31" s="26">
        <f>495/12*12</f>
        <v>495</v>
      </c>
      <c r="O31" s="26">
        <v>501</v>
      </c>
      <c r="P31" s="26">
        <f>O31*101%</f>
        <v>506.01</v>
      </c>
      <c r="Q31" s="26">
        <f>O31*1.03</f>
        <v>516.03</v>
      </c>
      <c r="R31" s="26">
        <f>P31*1.01</f>
        <v>511.07009999999997</v>
      </c>
      <c r="S31" s="26">
        <f>Q31*1.02</f>
        <v>526.35059999999999</v>
      </c>
      <c r="T31" s="26">
        <f>R31</f>
        <v>511.07009999999997</v>
      </c>
      <c r="U31" s="27">
        <f>S31*1.01</f>
        <v>531.61410599999999</v>
      </c>
    </row>
    <row r="32" spans="1:21" s="28" customFormat="1" ht="15.6" x14ac:dyDescent="0.25">
      <c r="A32" s="23" t="s">
        <v>64</v>
      </c>
      <c r="B32" s="123" t="s">
        <v>158</v>
      </c>
      <c r="C32" s="124" t="s">
        <v>60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>
        <v>59892</v>
      </c>
      <c r="O32" s="26">
        <v>57637</v>
      </c>
      <c r="P32" s="26">
        <f>O32</f>
        <v>57637</v>
      </c>
      <c r="Q32" s="26">
        <f>O32*1.01</f>
        <v>58213.37</v>
      </c>
      <c r="R32" s="26">
        <f>O32</f>
        <v>57637</v>
      </c>
      <c r="S32" s="26">
        <f>Q32*1.02</f>
        <v>59377.637400000007</v>
      </c>
      <c r="T32" s="26">
        <f>O32</f>
        <v>57637</v>
      </c>
      <c r="U32" s="27">
        <f>S32*1.03</f>
        <v>61158.96652200001</v>
      </c>
    </row>
    <row r="33" spans="1:21" s="28" customFormat="1" ht="15.6" outlineLevel="1" x14ac:dyDescent="0.25">
      <c r="A33" s="23" t="s">
        <v>161</v>
      </c>
      <c r="B33" s="32" t="s">
        <v>159</v>
      </c>
      <c r="C33" s="25" t="s">
        <v>65</v>
      </c>
      <c r="D33" s="34">
        <v>0.05</v>
      </c>
      <c r="E33" s="34">
        <v>0.06</v>
      </c>
      <c r="F33" s="34">
        <v>7.0000000000000007E-2</v>
      </c>
      <c r="G33" s="34">
        <v>0.1</v>
      </c>
      <c r="H33" s="34">
        <v>0</v>
      </c>
      <c r="I33" s="34">
        <v>0</v>
      </c>
      <c r="J33" s="34">
        <v>0</v>
      </c>
      <c r="K33" s="34">
        <v>0</v>
      </c>
      <c r="L33" s="34"/>
      <c r="M33" s="34"/>
      <c r="N33" s="34">
        <v>587.38400000000001</v>
      </c>
      <c r="O33" s="34">
        <v>559.57000000000005</v>
      </c>
      <c r="P33" s="34">
        <f>O33</f>
        <v>559.57000000000005</v>
      </c>
      <c r="Q33" s="34">
        <f>O33*1.01</f>
        <v>565.16570000000002</v>
      </c>
      <c r="R33" s="34">
        <f>O33</f>
        <v>559.57000000000005</v>
      </c>
      <c r="S33" s="34">
        <f>Q33*1.02</f>
        <v>576.46901400000002</v>
      </c>
      <c r="T33" s="34">
        <f>O33</f>
        <v>559.57000000000005</v>
      </c>
      <c r="U33" s="55">
        <f>S33*1.03</f>
        <v>593.76308442000004</v>
      </c>
    </row>
    <row r="34" spans="1:21" s="28" customFormat="1" ht="31.2" x14ac:dyDescent="0.25">
      <c r="A34" s="53" t="s">
        <v>66</v>
      </c>
      <c r="B34" s="54" t="s">
        <v>67</v>
      </c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39"/>
      <c r="O34" s="39"/>
      <c r="P34" s="39"/>
      <c r="Q34" s="39"/>
      <c r="R34" s="39"/>
      <c r="S34" s="39"/>
      <c r="T34" s="39"/>
      <c r="U34" s="40"/>
    </row>
    <row r="35" spans="1:21" s="28" customFormat="1" ht="46.8" x14ac:dyDescent="0.25">
      <c r="A35" s="23" t="s">
        <v>25</v>
      </c>
      <c r="B35" s="30" t="s">
        <v>68</v>
      </c>
      <c r="C35" s="25" t="s">
        <v>51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39"/>
      <c r="O35" s="39"/>
      <c r="P35" s="39"/>
      <c r="Q35" s="39"/>
      <c r="R35" s="39"/>
      <c r="S35" s="39"/>
      <c r="T35" s="39"/>
      <c r="U35" s="40"/>
    </row>
    <row r="36" spans="1:21" s="28" customFormat="1" ht="15.6" x14ac:dyDescent="0.25">
      <c r="A36" s="23"/>
      <c r="B36" s="30" t="s">
        <v>69</v>
      </c>
      <c r="C36" s="25" t="s">
        <v>70</v>
      </c>
      <c r="D36" s="34">
        <f>D39+D40+D42+D43+D45</f>
        <v>74.709999999999994</v>
      </c>
      <c r="E36" s="34">
        <v>67.5</v>
      </c>
      <c r="F36" s="34">
        <v>33.6</v>
      </c>
      <c r="G36" s="43">
        <f t="shared" ref="G36" si="8">G39+G40+G42+G43+G45</f>
        <v>15.7</v>
      </c>
      <c r="H36" s="34">
        <v>5.5019999999999998</v>
      </c>
      <c r="I36" s="34">
        <v>3</v>
      </c>
      <c r="J36" s="34">
        <v>4.01</v>
      </c>
      <c r="K36" s="34">
        <v>3.1</v>
      </c>
      <c r="L36" s="34">
        <v>2.5</v>
      </c>
      <c r="M36" s="34">
        <v>0</v>
      </c>
      <c r="N36" s="34">
        <v>0</v>
      </c>
      <c r="O36" s="34">
        <v>0</v>
      </c>
      <c r="P36" s="34">
        <v>0</v>
      </c>
      <c r="Q36" s="34">
        <v>1.1000000000000001</v>
      </c>
      <c r="R36" s="34">
        <f>P36*102%</f>
        <v>0</v>
      </c>
      <c r="S36" s="34">
        <f>Q36*1.05</f>
        <v>1.1550000000000002</v>
      </c>
      <c r="T36" s="34">
        <f>R36*102%</f>
        <v>0</v>
      </c>
      <c r="U36" s="55">
        <f>S36*1.06</f>
        <v>1.2243000000000004</v>
      </c>
    </row>
    <row r="37" spans="1:21" s="28" customFormat="1" ht="15.6" hidden="1" outlineLevel="1" x14ac:dyDescent="0.25">
      <c r="A37" s="23"/>
      <c r="B37" s="30" t="s">
        <v>71</v>
      </c>
      <c r="C37" s="25"/>
      <c r="D37" s="34">
        <f>D41</f>
        <v>3.25</v>
      </c>
      <c r="E37" s="34">
        <f>E41</f>
        <v>0</v>
      </c>
      <c r="F37" s="34">
        <f>F41</f>
        <v>0</v>
      </c>
      <c r="G37" s="43">
        <f>F37*0.95</f>
        <v>0</v>
      </c>
      <c r="H37" s="56">
        <v>0</v>
      </c>
      <c r="I37" s="56"/>
      <c r="J37" s="56"/>
      <c r="K37" s="56"/>
      <c r="L37" s="56"/>
      <c r="M37" s="56"/>
      <c r="N37" s="56"/>
      <c r="O37" s="56"/>
      <c r="P37" s="56"/>
      <c r="Q37" s="56"/>
      <c r="R37" s="101">
        <f t="shared" ref="R37:R43" si="9">P37*1.015</f>
        <v>0</v>
      </c>
      <c r="S37" s="101">
        <f t="shared" ref="S37:S43" si="10">Q37*1.02</f>
        <v>0</v>
      </c>
      <c r="T37" s="101">
        <f t="shared" ref="T37:U43" si="11">R37*1.017</f>
        <v>0</v>
      </c>
      <c r="U37" s="102">
        <f t="shared" si="11"/>
        <v>0</v>
      </c>
    </row>
    <row r="38" spans="1:21" s="28" customFormat="1" ht="15.6" hidden="1" outlineLevel="1" x14ac:dyDescent="0.25">
      <c r="A38" s="23"/>
      <c r="B38" s="30" t="s">
        <v>72</v>
      </c>
      <c r="C38" s="25" t="s">
        <v>73</v>
      </c>
      <c r="D38" s="56">
        <v>8.0000000000000002E-3</v>
      </c>
      <c r="E38" s="56">
        <v>5.0000000000000001E-3</v>
      </c>
      <c r="F38" s="56">
        <v>5.0000000000000001E-3</v>
      </c>
      <c r="G38" s="43">
        <f>F38*0.95</f>
        <v>4.7499999999999999E-3</v>
      </c>
      <c r="H38" s="56">
        <v>4.9779999999999998E-3</v>
      </c>
      <c r="I38" s="56"/>
      <c r="J38" s="56"/>
      <c r="K38" s="56"/>
      <c r="L38" s="56"/>
      <c r="M38" s="56"/>
      <c r="N38" s="56"/>
      <c r="O38" s="56"/>
      <c r="P38" s="56"/>
      <c r="Q38" s="56"/>
      <c r="R38" s="101">
        <f t="shared" si="9"/>
        <v>0</v>
      </c>
      <c r="S38" s="101">
        <f t="shared" si="10"/>
        <v>0</v>
      </c>
      <c r="T38" s="101">
        <f t="shared" si="11"/>
        <v>0</v>
      </c>
      <c r="U38" s="102">
        <f t="shared" si="11"/>
        <v>0</v>
      </c>
    </row>
    <row r="39" spans="1:21" s="28" customFormat="1" ht="15.6" hidden="1" outlineLevel="1" x14ac:dyDescent="0.25">
      <c r="A39" s="31" t="s">
        <v>28</v>
      </c>
      <c r="B39" s="32" t="s">
        <v>74</v>
      </c>
      <c r="C39" s="60" t="s">
        <v>70</v>
      </c>
      <c r="D39" s="61">
        <v>10</v>
      </c>
      <c r="E39" s="61">
        <v>7.5</v>
      </c>
      <c r="F39" s="61">
        <v>7.5</v>
      </c>
      <c r="G39" s="43">
        <v>5.3</v>
      </c>
      <c r="H39" s="56">
        <v>5.5020000000000007</v>
      </c>
      <c r="I39" s="56">
        <v>3</v>
      </c>
      <c r="J39" s="56">
        <v>0</v>
      </c>
      <c r="K39" s="56">
        <v>0</v>
      </c>
      <c r="L39" s="56"/>
      <c r="M39" s="56"/>
      <c r="N39" s="56">
        <v>0</v>
      </c>
      <c r="O39" s="56">
        <v>0</v>
      </c>
      <c r="P39" s="56">
        <v>3</v>
      </c>
      <c r="Q39" s="56">
        <v>0</v>
      </c>
      <c r="R39" s="101">
        <f t="shared" si="9"/>
        <v>3.0449999999999999</v>
      </c>
      <c r="S39" s="101">
        <f t="shared" si="10"/>
        <v>0</v>
      </c>
      <c r="T39" s="101">
        <f t="shared" si="11"/>
        <v>3.0967649999999995</v>
      </c>
      <c r="U39" s="102">
        <f t="shared" si="11"/>
        <v>0</v>
      </c>
    </row>
    <row r="40" spans="1:21" s="28" customFormat="1" ht="15.6" hidden="1" outlineLevel="1" x14ac:dyDescent="0.25">
      <c r="A40" s="31" t="s">
        <v>30</v>
      </c>
      <c r="B40" s="32" t="s">
        <v>75</v>
      </c>
      <c r="C40" s="60" t="s">
        <v>70</v>
      </c>
      <c r="D40" s="61">
        <v>6.5</v>
      </c>
      <c r="E40" s="61">
        <v>8.9</v>
      </c>
      <c r="F40" s="61">
        <v>3.3</v>
      </c>
      <c r="G40" s="43">
        <v>0</v>
      </c>
      <c r="H40" s="56">
        <v>0</v>
      </c>
      <c r="I40" s="56"/>
      <c r="J40" s="56"/>
      <c r="K40" s="56"/>
      <c r="L40" s="56"/>
      <c r="M40" s="56"/>
      <c r="N40" s="56"/>
      <c r="O40" s="56"/>
      <c r="P40" s="56"/>
      <c r="Q40" s="56"/>
      <c r="R40" s="101">
        <f t="shared" si="9"/>
        <v>0</v>
      </c>
      <c r="S40" s="101">
        <f t="shared" si="10"/>
        <v>0</v>
      </c>
      <c r="T40" s="101">
        <f t="shared" si="11"/>
        <v>0</v>
      </c>
      <c r="U40" s="102">
        <f t="shared" si="11"/>
        <v>0</v>
      </c>
    </row>
    <row r="41" spans="1:21" s="28" customFormat="1" ht="15.6" hidden="1" outlineLevel="1" x14ac:dyDescent="0.25">
      <c r="A41" s="31"/>
      <c r="B41" s="32" t="s">
        <v>71</v>
      </c>
      <c r="C41" s="60" t="s">
        <v>70</v>
      </c>
      <c r="D41" s="61">
        <v>3.25</v>
      </c>
      <c r="E41" s="61">
        <v>0</v>
      </c>
      <c r="F41" s="61">
        <v>0</v>
      </c>
      <c r="G41" s="43">
        <f t="shared" ref="G41:G46" si="12">F41*0.95</f>
        <v>0</v>
      </c>
      <c r="H41" s="56">
        <v>0</v>
      </c>
      <c r="I41" s="56"/>
      <c r="J41" s="56"/>
      <c r="K41" s="56"/>
      <c r="L41" s="56"/>
      <c r="M41" s="56"/>
      <c r="N41" s="56"/>
      <c r="O41" s="56"/>
      <c r="P41" s="56"/>
      <c r="Q41" s="56"/>
      <c r="R41" s="101">
        <f t="shared" si="9"/>
        <v>0</v>
      </c>
      <c r="S41" s="101">
        <f t="shared" si="10"/>
        <v>0</v>
      </c>
      <c r="T41" s="101">
        <f t="shared" si="11"/>
        <v>0</v>
      </c>
      <c r="U41" s="102">
        <f t="shared" si="11"/>
        <v>0</v>
      </c>
    </row>
    <row r="42" spans="1:21" s="28" customFormat="1" ht="15.6" hidden="1" outlineLevel="1" x14ac:dyDescent="0.25">
      <c r="A42" s="31" t="s">
        <v>30</v>
      </c>
      <c r="B42" s="32" t="s">
        <v>76</v>
      </c>
      <c r="C42" s="60" t="s">
        <v>70</v>
      </c>
      <c r="D42" s="61">
        <v>26.61</v>
      </c>
      <c r="E42" s="61">
        <v>32.9</v>
      </c>
      <c r="F42" s="61">
        <v>10.9</v>
      </c>
      <c r="G42" s="43">
        <v>10.4</v>
      </c>
      <c r="H42" s="56">
        <v>0</v>
      </c>
      <c r="I42" s="56">
        <v>0</v>
      </c>
      <c r="J42" s="56"/>
      <c r="K42" s="56">
        <v>0</v>
      </c>
      <c r="L42" s="56"/>
      <c r="M42" s="56"/>
      <c r="N42" s="56">
        <v>0</v>
      </c>
      <c r="O42" s="56">
        <v>0</v>
      </c>
      <c r="P42" s="56">
        <v>0</v>
      </c>
      <c r="Q42" s="56">
        <v>0</v>
      </c>
      <c r="R42" s="101">
        <f t="shared" si="9"/>
        <v>0</v>
      </c>
      <c r="S42" s="101">
        <f t="shared" si="10"/>
        <v>0</v>
      </c>
      <c r="T42" s="101">
        <f t="shared" si="11"/>
        <v>0</v>
      </c>
      <c r="U42" s="102">
        <f t="shared" si="11"/>
        <v>0</v>
      </c>
    </row>
    <row r="43" spans="1:21" s="28" customFormat="1" ht="15.6" hidden="1" outlineLevel="1" x14ac:dyDescent="0.25">
      <c r="A43" s="31" t="s">
        <v>35</v>
      </c>
      <c r="B43" s="32" t="s">
        <v>77</v>
      </c>
      <c r="C43" s="60" t="s">
        <v>70</v>
      </c>
      <c r="D43" s="61">
        <v>26</v>
      </c>
      <c r="E43" s="61">
        <v>12.4</v>
      </c>
      <c r="F43" s="61">
        <v>0</v>
      </c>
      <c r="G43" s="43">
        <f t="shared" si="12"/>
        <v>0</v>
      </c>
      <c r="H43" s="56">
        <v>0</v>
      </c>
      <c r="I43" s="56">
        <v>0</v>
      </c>
      <c r="J43" s="56"/>
      <c r="K43" s="56">
        <v>0</v>
      </c>
      <c r="L43" s="56"/>
      <c r="M43" s="56"/>
      <c r="N43" s="56">
        <v>0</v>
      </c>
      <c r="O43" s="56">
        <v>0</v>
      </c>
      <c r="P43" s="56">
        <v>0</v>
      </c>
      <c r="Q43" s="56">
        <v>0</v>
      </c>
      <c r="R43" s="101">
        <f t="shared" si="9"/>
        <v>0</v>
      </c>
      <c r="S43" s="101">
        <f t="shared" si="10"/>
        <v>0</v>
      </c>
      <c r="T43" s="101">
        <f t="shared" si="11"/>
        <v>0</v>
      </c>
      <c r="U43" s="102">
        <f t="shared" si="11"/>
        <v>0</v>
      </c>
    </row>
    <row r="44" spans="1:21" s="28" customFormat="1" ht="15.6" hidden="1" outlineLevel="1" x14ac:dyDescent="0.25">
      <c r="A44" s="31" t="s">
        <v>39</v>
      </c>
      <c r="B44" s="32" t="s">
        <v>78</v>
      </c>
      <c r="C44" s="60"/>
      <c r="D44" s="61"/>
      <c r="E44" s="61"/>
      <c r="F44" s="61"/>
      <c r="G44" s="43">
        <f t="shared" si="12"/>
        <v>0</v>
      </c>
      <c r="H44" s="56">
        <v>0</v>
      </c>
      <c r="I44" s="56"/>
      <c r="J44" s="56"/>
      <c r="K44" s="56"/>
      <c r="L44" s="56"/>
      <c r="M44" s="56"/>
      <c r="N44" s="56"/>
      <c r="O44" s="56"/>
      <c r="P44" s="56"/>
      <c r="Q44" s="56"/>
      <c r="R44" s="101">
        <f t="shared" ref="R44:R46" si="13">S44*0.98</f>
        <v>0</v>
      </c>
      <c r="S44" s="101">
        <f>Q44*1.043</f>
        <v>0</v>
      </c>
      <c r="T44" s="101">
        <f t="shared" ref="T44:T46" si="14">U44*0.98</f>
        <v>0</v>
      </c>
      <c r="U44" s="102">
        <f>S44*1.043</f>
        <v>0</v>
      </c>
    </row>
    <row r="45" spans="1:21" s="28" customFormat="1" ht="15.6" hidden="1" outlineLevel="1" x14ac:dyDescent="0.25">
      <c r="A45" s="31"/>
      <c r="B45" s="32" t="s">
        <v>79</v>
      </c>
      <c r="C45" s="60" t="s">
        <v>70</v>
      </c>
      <c r="D45" s="61">
        <v>5.6</v>
      </c>
      <c r="E45" s="61">
        <v>2.4</v>
      </c>
      <c r="F45" s="61">
        <v>0</v>
      </c>
      <c r="G45" s="43">
        <f t="shared" si="12"/>
        <v>0</v>
      </c>
      <c r="H45" s="56">
        <v>0</v>
      </c>
      <c r="I45" s="56"/>
      <c r="J45" s="56"/>
      <c r="K45" s="56"/>
      <c r="L45" s="56"/>
      <c r="M45" s="56"/>
      <c r="N45" s="56"/>
      <c r="O45" s="56"/>
      <c r="P45" s="56"/>
      <c r="Q45" s="56"/>
      <c r="R45" s="101">
        <f t="shared" si="13"/>
        <v>0</v>
      </c>
      <c r="S45" s="101">
        <f>Q45*1.043</f>
        <v>0</v>
      </c>
      <c r="T45" s="101">
        <f t="shared" si="14"/>
        <v>0</v>
      </c>
      <c r="U45" s="102">
        <f>S45*1.043</f>
        <v>0</v>
      </c>
    </row>
    <row r="46" spans="1:21" s="28" customFormat="1" ht="15.6" hidden="1" outlineLevel="1" x14ac:dyDescent="0.25">
      <c r="A46" s="31"/>
      <c r="B46" s="32" t="s">
        <v>80</v>
      </c>
      <c r="C46" s="60" t="s">
        <v>73</v>
      </c>
      <c r="D46" s="62">
        <v>8.0000000000000002E-3</v>
      </c>
      <c r="E46" s="62">
        <v>2.3999999999999998E-3</v>
      </c>
      <c r="F46" s="62">
        <v>0</v>
      </c>
      <c r="G46" s="43">
        <f t="shared" si="12"/>
        <v>0</v>
      </c>
      <c r="H46" s="56">
        <v>0</v>
      </c>
      <c r="I46" s="56"/>
      <c r="J46" s="56"/>
      <c r="K46" s="56"/>
      <c r="L46" s="56"/>
      <c r="M46" s="56"/>
      <c r="N46" s="56"/>
      <c r="O46" s="56"/>
      <c r="P46" s="56"/>
      <c r="Q46" s="56"/>
      <c r="R46" s="101">
        <f t="shared" si="13"/>
        <v>0</v>
      </c>
      <c r="S46" s="101">
        <f>Q46*1.043</f>
        <v>0</v>
      </c>
      <c r="T46" s="101">
        <f t="shared" si="14"/>
        <v>0</v>
      </c>
      <c r="U46" s="102">
        <f>S46*1.043</f>
        <v>0</v>
      </c>
    </row>
    <row r="47" spans="1:21" s="28" customFormat="1" ht="15.6" collapsed="1" x14ac:dyDescent="0.25">
      <c r="A47" s="23" t="s">
        <v>49</v>
      </c>
      <c r="B47" s="30" t="s">
        <v>81</v>
      </c>
      <c r="C47" s="25" t="s">
        <v>27</v>
      </c>
      <c r="D47" s="34">
        <f t="shared" ref="D47:G47" si="15">D48+D52</f>
        <v>14062</v>
      </c>
      <c r="E47" s="34">
        <f t="shared" si="15"/>
        <v>11445.2</v>
      </c>
      <c r="F47" s="34">
        <f t="shared" si="15"/>
        <v>9483</v>
      </c>
      <c r="G47" s="29">
        <f t="shared" si="15"/>
        <v>10026.220000000001</v>
      </c>
      <c r="H47" s="34">
        <v>10507.478560000003</v>
      </c>
      <c r="I47" s="34">
        <f t="shared" ref="I47:O47" si="16">I48+I50+I51+I52</f>
        <v>10062</v>
      </c>
      <c r="J47" s="34">
        <f t="shared" si="16"/>
        <v>6119.5</v>
      </c>
      <c r="K47" s="34">
        <f t="shared" si="16"/>
        <v>6686.4369999999999</v>
      </c>
      <c r="L47" s="34">
        <f t="shared" si="16"/>
        <v>5879.45</v>
      </c>
      <c r="M47" s="34">
        <f t="shared" si="16"/>
        <v>0</v>
      </c>
      <c r="N47" s="34">
        <f t="shared" si="16"/>
        <v>0</v>
      </c>
      <c r="O47" s="34">
        <f t="shared" si="16"/>
        <v>0</v>
      </c>
      <c r="P47" s="34">
        <f>P48+P50+P51+P52</f>
        <v>2200</v>
      </c>
      <c r="Q47" s="34">
        <f t="shared" ref="Q47:U47" si="17">Q48+Q50+Q51+Q52</f>
        <v>2651</v>
      </c>
      <c r="R47" s="34">
        <f t="shared" si="17"/>
        <v>2200</v>
      </c>
      <c r="S47" s="34">
        <f t="shared" si="17"/>
        <v>2676.6219999999998</v>
      </c>
      <c r="T47" s="34">
        <f t="shared" si="17"/>
        <v>2200</v>
      </c>
      <c r="U47" s="55">
        <f t="shared" si="17"/>
        <v>2726.6462219999994</v>
      </c>
    </row>
    <row r="48" spans="1:21" s="28" customFormat="1" ht="15.6" x14ac:dyDescent="0.25">
      <c r="A48" s="31"/>
      <c r="B48" s="32" t="s">
        <v>82</v>
      </c>
      <c r="C48" s="60" t="s">
        <v>27</v>
      </c>
      <c r="D48" s="61">
        <f>D49+D50+D51</f>
        <v>7873.48</v>
      </c>
      <c r="E48" s="61">
        <v>3765.2</v>
      </c>
      <c r="F48" s="61">
        <v>1350</v>
      </c>
      <c r="G48" s="42">
        <f t="shared" ref="G48:H48" si="18">G49+G51</f>
        <v>1079.92</v>
      </c>
      <c r="H48" s="61">
        <f t="shared" si="18"/>
        <v>1131.7561600000001</v>
      </c>
      <c r="I48" s="61">
        <f>I39*350</f>
        <v>1050</v>
      </c>
      <c r="J48" s="61">
        <f>J36*350</f>
        <v>1403.5</v>
      </c>
      <c r="K48" s="61">
        <f>K36*350</f>
        <v>1085</v>
      </c>
      <c r="L48" s="61">
        <f>L36*390</f>
        <v>975</v>
      </c>
      <c r="M48" s="61">
        <v>0</v>
      </c>
      <c r="N48" s="61">
        <v>0</v>
      </c>
      <c r="O48" s="61">
        <v>0</v>
      </c>
      <c r="P48" s="61">
        <v>0</v>
      </c>
      <c r="Q48" s="61">
        <v>429</v>
      </c>
      <c r="R48" s="61">
        <v>0</v>
      </c>
      <c r="S48" s="61">
        <v>452.4</v>
      </c>
      <c r="T48" s="61">
        <f>R48*1.05</f>
        <v>0</v>
      </c>
      <c r="U48" s="63">
        <v>500.2</v>
      </c>
    </row>
    <row r="49" spans="1:22" s="28" customFormat="1" ht="15.6" hidden="1" outlineLevel="1" x14ac:dyDescent="0.25">
      <c r="A49" s="31"/>
      <c r="B49" s="32" t="s">
        <v>79</v>
      </c>
      <c r="C49" s="60" t="s">
        <v>27</v>
      </c>
      <c r="D49" s="61">
        <v>7751.24</v>
      </c>
      <c r="E49" s="61">
        <v>3758.3</v>
      </c>
      <c r="F49" s="61">
        <v>1346.7</v>
      </c>
      <c r="G49" s="42">
        <f>F49*0.8</f>
        <v>1077.3600000000001</v>
      </c>
      <c r="H49" s="61">
        <v>1129.0732800000001</v>
      </c>
      <c r="I49" s="61">
        <v>0</v>
      </c>
      <c r="J49" s="61"/>
      <c r="K49" s="61">
        <v>0</v>
      </c>
      <c r="L49" s="61"/>
      <c r="M49" s="61"/>
      <c r="N49" s="61">
        <v>0</v>
      </c>
      <c r="O49" s="61">
        <v>0</v>
      </c>
      <c r="P49" s="61">
        <v>0</v>
      </c>
      <c r="Q49" s="61">
        <f>Q36*0.35</f>
        <v>0.38500000000000001</v>
      </c>
      <c r="R49" s="61">
        <f t="shared" ref="R49:R51" si="19">P49*1.015</f>
        <v>0</v>
      </c>
      <c r="S49" s="108">
        <f>Q49*1.03</f>
        <v>0.39655000000000001</v>
      </c>
      <c r="T49" s="108">
        <f t="shared" ref="T49:U51" si="20">R49*1.017</f>
        <v>0</v>
      </c>
      <c r="U49" s="121">
        <f>S49*1.04</f>
        <v>0.412412</v>
      </c>
    </row>
    <row r="50" spans="1:22" s="28" customFormat="1" ht="15.6" hidden="1" outlineLevel="1" x14ac:dyDescent="0.25">
      <c r="A50" s="31"/>
      <c r="B50" s="32" t="s">
        <v>71</v>
      </c>
      <c r="C50" s="60" t="s">
        <v>27</v>
      </c>
      <c r="D50" s="61">
        <v>92.63</v>
      </c>
      <c r="E50" s="61">
        <v>0</v>
      </c>
      <c r="F50" s="61">
        <v>0</v>
      </c>
      <c r="G50" s="42">
        <f>F50*0.95</f>
        <v>0</v>
      </c>
      <c r="H50" s="61">
        <v>0</v>
      </c>
      <c r="I50" s="61">
        <v>0</v>
      </c>
      <c r="J50" s="61"/>
      <c r="K50" s="61">
        <v>0</v>
      </c>
      <c r="L50" s="61"/>
      <c r="M50" s="61"/>
      <c r="N50" s="61">
        <v>0</v>
      </c>
      <c r="O50" s="61">
        <v>0</v>
      </c>
      <c r="P50" s="61">
        <v>0</v>
      </c>
      <c r="Q50" s="61">
        <v>0</v>
      </c>
      <c r="R50" s="61">
        <f t="shared" si="19"/>
        <v>0</v>
      </c>
      <c r="S50" s="61">
        <f t="shared" ref="S50:S51" si="21">Q50*1.02</f>
        <v>0</v>
      </c>
      <c r="T50" s="61">
        <f t="shared" si="20"/>
        <v>0</v>
      </c>
      <c r="U50" s="63">
        <f t="shared" si="20"/>
        <v>0</v>
      </c>
    </row>
    <row r="51" spans="1:22" s="28" customFormat="1" ht="15.6" hidden="1" outlineLevel="1" x14ac:dyDescent="0.25">
      <c r="A51" s="31"/>
      <c r="B51" s="32" t="s">
        <v>80</v>
      </c>
      <c r="C51" s="60" t="s">
        <v>27</v>
      </c>
      <c r="D51" s="61">
        <v>29.61</v>
      </c>
      <c r="E51" s="61">
        <v>6.9</v>
      </c>
      <c r="F51" s="61">
        <v>3.2</v>
      </c>
      <c r="G51" s="42">
        <f>F51*0.8</f>
        <v>2.5600000000000005</v>
      </c>
      <c r="H51" s="61">
        <v>2.6828800000000008</v>
      </c>
      <c r="I51" s="61">
        <v>0</v>
      </c>
      <c r="J51" s="61"/>
      <c r="K51" s="61">
        <v>0</v>
      </c>
      <c r="L51" s="61"/>
      <c r="M51" s="61"/>
      <c r="N51" s="61">
        <v>0</v>
      </c>
      <c r="O51" s="61">
        <v>0</v>
      </c>
      <c r="P51" s="61">
        <v>0</v>
      </c>
      <c r="Q51" s="61">
        <v>0</v>
      </c>
      <c r="R51" s="61">
        <f t="shared" si="19"/>
        <v>0</v>
      </c>
      <c r="S51" s="61">
        <f t="shared" si="21"/>
        <v>0</v>
      </c>
      <c r="T51" s="61">
        <f t="shared" si="20"/>
        <v>0</v>
      </c>
      <c r="U51" s="63">
        <f t="shared" si="20"/>
        <v>0</v>
      </c>
    </row>
    <row r="52" spans="1:22" s="28" customFormat="1" ht="15.6" collapsed="1" x14ac:dyDescent="0.25">
      <c r="A52" s="31"/>
      <c r="B52" s="32" t="s">
        <v>83</v>
      </c>
      <c r="C52" s="60" t="s">
        <v>27</v>
      </c>
      <c r="D52" s="61">
        <v>6188.52</v>
      </c>
      <c r="E52" s="61">
        <v>7680</v>
      </c>
      <c r="F52" s="61">
        <v>8133</v>
      </c>
      <c r="G52" s="42">
        <f>F52*1.1</f>
        <v>8946.3000000000011</v>
      </c>
      <c r="H52" s="64">
        <v>9375.7224000000024</v>
      </c>
      <c r="I52" s="64">
        <f>I28*40</f>
        <v>9012</v>
      </c>
      <c r="J52" s="64">
        <v>4716</v>
      </c>
      <c r="K52" s="61">
        <v>5601.4369999999999</v>
      </c>
      <c r="L52" s="61">
        <v>4904.45</v>
      </c>
      <c r="M52" s="61">
        <v>0</v>
      </c>
      <c r="N52" s="61">
        <v>0</v>
      </c>
      <c r="O52" s="61">
        <v>0</v>
      </c>
      <c r="P52" s="64">
        <v>2200</v>
      </c>
      <c r="Q52" s="61">
        <f>P52*1.01</f>
        <v>2222</v>
      </c>
      <c r="R52" s="61">
        <v>2200</v>
      </c>
      <c r="S52" s="61">
        <f>Q52*1.001</f>
        <v>2224.2219999999998</v>
      </c>
      <c r="T52" s="61">
        <f>R52</f>
        <v>2200</v>
      </c>
      <c r="U52" s="63">
        <f>S52*1.001</f>
        <v>2226.4462219999996</v>
      </c>
    </row>
    <row r="53" spans="1:22" s="28" customFormat="1" ht="15.6" x14ac:dyDescent="0.25">
      <c r="A53" s="53" t="s">
        <v>84</v>
      </c>
      <c r="B53" s="65" t="s">
        <v>85</v>
      </c>
      <c r="C53" s="25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7"/>
      <c r="O53" s="67"/>
      <c r="P53" s="67"/>
      <c r="Q53" s="67"/>
      <c r="R53" s="67"/>
      <c r="S53" s="67"/>
      <c r="T53" s="67"/>
      <c r="U53" s="68"/>
    </row>
    <row r="54" spans="1:22" s="28" customFormat="1" ht="15.6" x14ac:dyDescent="0.25">
      <c r="A54" s="23" t="s">
        <v>25</v>
      </c>
      <c r="B54" s="69" t="s">
        <v>86</v>
      </c>
      <c r="C54" s="25" t="s">
        <v>87</v>
      </c>
      <c r="D54" s="43">
        <f>4.9*1.0014</f>
        <v>4.9068600000000009</v>
      </c>
      <c r="E54" s="43">
        <v>4.2729999999999997</v>
      </c>
      <c r="F54" s="43">
        <v>4.2880000000000003</v>
      </c>
      <c r="G54" s="43">
        <v>4.1239999999999997</v>
      </c>
      <c r="H54" s="43">
        <v>3.5590000000000002</v>
      </c>
      <c r="I54" s="43">
        <v>3.5830000000000002</v>
      </c>
      <c r="J54" s="43">
        <v>3.548</v>
      </c>
      <c r="K54" s="43">
        <v>3.4809999999999999</v>
      </c>
      <c r="L54" s="43">
        <v>3.548</v>
      </c>
      <c r="M54" s="43">
        <v>3.5339999999999998</v>
      </c>
      <c r="N54" s="43">
        <v>3.3330000000000002</v>
      </c>
      <c r="O54" s="43">
        <v>3.4340000000000002</v>
      </c>
      <c r="P54" s="43">
        <f>O54*100%</f>
        <v>3.4340000000000002</v>
      </c>
      <c r="Q54" s="43">
        <f>O54*99%</f>
        <v>3.3996600000000003</v>
      </c>
      <c r="R54" s="43">
        <f>P54*100.3%</f>
        <v>3.444302</v>
      </c>
      <c r="S54" s="43">
        <f>Q54*100%</f>
        <v>3.3996600000000003</v>
      </c>
      <c r="T54" s="43">
        <f>R54*100.3%</f>
        <v>3.4546349059999995</v>
      </c>
      <c r="U54" s="70">
        <f>S54*100.2%</f>
        <v>3.4064593200000002</v>
      </c>
    </row>
    <row r="55" spans="1:22" s="28" customFormat="1" ht="15.6" x14ac:dyDescent="0.25">
      <c r="A55" s="23" t="s">
        <v>49</v>
      </c>
      <c r="B55" s="69" t="s">
        <v>88</v>
      </c>
      <c r="C55" s="25" t="s">
        <v>87</v>
      </c>
      <c r="D55" s="43"/>
      <c r="E55" s="43"/>
      <c r="F55" s="43"/>
      <c r="G55" s="43">
        <v>0.215</v>
      </c>
      <c r="H55" s="43">
        <v>0.185</v>
      </c>
      <c r="I55" s="43">
        <v>0.14399999999999999</v>
      </c>
      <c r="J55" s="43">
        <v>0.20799999999999999</v>
      </c>
      <c r="K55" s="43">
        <v>0.20799999999999999</v>
      </c>
      <c r="L55" s="43">
        <v>0.26400000000000001</v>
      </c>
      <c r="M55" s="43">
        <v>0.26400000000000001</v>
      </c>
      <c r="N55" s="43">
        <v>0.20799999999999999</v>
      </c>
      <c r="O55" s="43">
        <v>0.245</v>
      </c>
      <c r="P55" s="43">
        <v>0.20499999999999999</v>
      </c>
      <c r="Q55" s="43">
        <v>0.215</v>
      </c>
      <c r="R55" s="43">
        <f t="shared" ref="R55:U56" si="22">P55*100.8%</f>
        <v>0.20663999999999999</v>
      </c>
      <c r="S55" s="43">
        <f t="shared" si="22"/>
        <v>0.21672</v>
      </c>
      <c r="T55" s="43">
        <f t="shared" si="22"/>
        <v>0.20829312</v>
      </c>
      <c r="U55" s="70">
        <f t="shared" si="22"/>
        <v>0.21845376</v>
      </c>
    </row>
    <row r="56" spans="1:22" s="28" customFormat="1" ht="15.6" x14ac:dyDescent="0.25">
      <c r="A56" s="23" t="s">
        <v>56</v>
      </c>
      <c r="B56" s="69" t="s">
        <v>89</v>
      </c>
      <c r="C56" s="25" t="s">
        <v>87</v>
      </c>
      <c r="D56" s="43"/>
      <c r="E56" s="43"/>
      <c r="F56" s="43"/>
      <c r="G56" s="43">
        <v>0.123</v>
      </c>
      <c r="H56" s="43">
        <v>0.27200000000000002</v>
      </c>
      <c r="I56" s="43">
        <v>0.20499999999999999</v>
      </c>
      <c r="J56" s="43">
        <v>0.27600000000000002</v>
      </c>
      <c r="K56" s="43">
        <v>0.26400000000000001</v>
      </c>
      <c r="L56" s="43">
        <v>0.20699999999999999</v>
      </c>
      <c r="M56" s="43">
        <v>0.20699999999999999</v>
      </c>
      <c r="N56" s="43">
        <v>0.19500000000000001</v>
      </c>
      <c r="O56" s="43">
        <v>0.189</v>
      </c>
      <c r="P56" s="43">
        <f>O56*100.5%</f>
        <v>0.18994499999999997</v>
      </c>
      <c r="Q56" s="43">
        <f>O56*100.5%</f>
        <v>0.18994499999999997</v>
      </c>
      <c r="R56" s="43">
        <f t="shared" si="22"/>
        <v>0.19146455999999998</v>
      </c>
      <c r="S56" s="43">
        <f t="shared" si="22"/>
        <v>0.19146455999999998</v>
      </c>
      <c r="T56" s="43">
        <f t="shared" si="22"/>
        <v>0.19299627647999998</v>
      </c>
      <c r="U56" s="70">
        <f t="shared" si="22"/>
        <v>0.19299627647999998</v>
      </c>
      <c r="V56" s="28">
        <v>0.16</v>
      </c>
    </row>
    <row r="57" spans="1:22" s="28" customFormat="1" ht="15.6" x14ac:dyDescent="0.25">
      <c r="A57" s="23" t="s">
        <v>59</v>
      </c>
      <c r="B57" s="69" t="s">
        <v>90</v>
      </c>
      <c r="C57" s="25" t="s">
        <v>87</v>
      </c>
      <c r="D57" s="43"/>
      <c r="E57" s="43"/>
      <c r="F57" s="43"/>
      <c r="G57" s="43">
        <v>9.1999999999999998E-2</v>
      </c>
      <c r="H57" s="43">
        <v>-8.6999999999999994E-2</v>
      </c>
      <c r="I57" s="43">
        <v>-6.0999999999999999E-2</v>
      </c>
      <c r="J57" s="43">
        <v>-6.8000000000000005E-2</v>
      </c>
      <c r="K57" s="43">
        <v>-6.7000000000000004E-2</v>
      </c>
      <c r="L57" s="43">
        <f>L55-L56</f>
        <v>5.7000000000000023E-2</v>
      </c>
      <c r="M57" s="43">
        <v>5.7000000000000023E-2</v>
      </c>
      <c r="N57" s="71">
        <f>N55-N56</f>
        <v>1.2999999999999984E-2</v>
      </c>
      <c r="O57" s="71">
        <f>O55-O56</f>
        <v>5.5999999999999994E-2</v>
      </c>
      <c r="P57" s="43">
        <f>P55-P56</f>
        <v>1.5055000000000013E-2</v>
      </c>
      <c r="Q57" s="43">
        <f t="shared" ref="Q57:U57" si="23">Q55-Q56</f>
        <v>2.5055000000000022E-2</v>
      </c>
      <c r="R57" s="43">
        <f t="shared" si="23"/>
        <v>1.5175440000000012E-2</v>
      </c>
      <c r="S57" s="43">
        <f t="shared" si="23"/>
        <v>2.5255440000000018E-2</v>
      </c>
      <c r="T57" s="43">
        <f t="shared" si="23"/>
        <v>1.529684352000002E-2</v>
      </c>
      <c r="U57" s="70">
        <f t="shared" si="23"/>
        <v>2.5457483520000018E-2</v>
      </c>
    </row>
    <row r="58" spans="1:22" s="28" customFormat="1" ht="15.6" x14ac:dyDescent="0.25">
      <c r="A58" s="23" t="s">
        <v>61</v>
      </c>
      <c r="B58" s="69" t="s">
        <v>91</v>
      </c>
      <c r="C58" s="25" t="s">
        <v>87</v>
      </c>
      <c r="D58" s="43"/>
      <c r="E58" s="43"/>
      <c r="F58" s="43"/>
      <c r="G58" s="43">
        <v>0.02</v>
      </c>
      <c r="H58" s="43">
        <v>0.02</v>
      </c>
      <c r="I58" s="43">
        <v>3.4000000000000002E-2</v>
      </c>
      <c r="J58" s="43">
        <v>3.3000000000000002E-2</v>
      </c>
      <c r="K58" s="43">
        <v>1.0999999999999999E-2</v>
      </c>
      <c r="L58" s="43">
        <v>8.9999999999999993E-3</v>
      </c>
      <c r="M58" s="43">
        <v>1.7000000000000001E-2</v>
      </c>
      <c r="N58" s="71">
        <v>-3.0000000000000001E-3</v>
      </c>
      <c r="O58" s="71">
        <v>4.0000000000000001E-3</v>
      </c>
      <c r="P58" s="71">
        <v>1.2999999999999999E-2</v>
      </c>
      <c r="Q58" s="71">
        <v>1.4999999999999999E-2</v>
      </c>
      <c r="R58" s="71">
        <v>1.4E-2</v>
      </c>
      <c r="S58" s="71">
        <v>1.6E-2</v>
      </c>
      <c r="T58" s="71">
        <v>1.4999999999999999E-2</v>
      </c>
      <c r="U58" s="72">
        <v>1.7999999999999999E-2</v>
      </c>
    </row>
    <row r="59" spans="1:22" s="28" customFormat="1" ht="15.6" x14ac:dyDescent="0.25">
      <c r="A59" s="53" t="s">
        <v>92</v>
      </c>
      <c r="B59" s="65" t="s">
        <v>93</v>
      </c>
      <c r="C59" s="25"/>
      <c r="D59" s="66">
        <f t="shared" ref="D59:F59" si="24">D60+D61</f>
        <v>3.3200000000000003</v>
      </c>
      <c r="E59" s="66">
        <f t="shared" si="24"/>
        <v>3.3140000000000001</v>
      </c>
      <c r="F59" s="66">
        <f t="shared" si="24"/>
        <v>3.319</v>
      </c>
      <c r="G59" s="66"/>
      <c r="H59" s="66"/>
      <c r="I59" s="66"/>
      <c r="J59" s="66"/>
      <c r="K59" s="66"/>
      <c r="L59" s="66"/>
      <c r="M59" s="66"/>
      <c r="N59" s="66"/>
      <c r="O59" s="67"/>
      <c r="P59" s="67"/>
      <c r="Q59" s="67"/>
      <c r="R59" s="73"/>
      <c r="S59" s="73"/>
      <c r="T59" s="73"/>
      <c r="U59" s="74"/>
    </row>
    <row r="60" spans="1:22" s="28" customFormat="1" ht="15.6" x14ac:dyDescent="0.25">
      <c r="A60" s="23" t="s">
        <v>25</v>
      </c>
      <c r="B60" s="69" t="s">
        <v>94</v>
      </c>
      <c r="C60" s="25" t="s">
        <v>87</v>
      </c>
      <c r="D60" s="43">
        <v>3.2440000000000002</v>
      </c>
      <c r="E60" s="43">
        <v>3.2690000000000001</v>
      </c>
      <c r="F60" s="43">
        <v>3.274</v>
      </c>
      <c r="G60" s="43">
        <v>3.1869999999999998</v>
      </c>
      <c r="H60" s="43">
        <v>3.274</v>
      </c>
      <c r="I60" s="43">
        <v>3.1269999999999998</v>
      </c>
      <c r="J60" s="71">
        <v>2.21</v>
      </c>
      <c r="K60" s="71">
        <v>2.2629999999999999</v>
      </c>
      <c r="L60" s="71">
        <v>1.7869999999999999</v>
      </c>
      <c r="M60" s="71">
        <v>1.7430000000000001</v>
      </c>
      <c r="N60" s="71">
        <v>1.9870000000000001</v>
      </c>
      <c r="O60" s="71">
        <v>1.9019999999999999</v>
      </c>
      <c r="P60" s="71">
        <f>O60*1.005</f>
        <v>1.9115099999999998</v>
      </c>
      <c r="Q60" s="71">
        <v>1.915</v>
      </c>
      <c r="R60" s="71">
        <f>P60*1.003</f>
        <v>1.9172445299999996</v>
      </c>
      <c r="S60" s="71">
        <f>Q60*1.01</f>
        <v>1.93415</v>
      </c>
      <c r="T60" s="71">
        <f>R60*1.005</f>
        <v>1.9268307526499995</v>
      </c>
      <c r="U60" s="72">
        <f>S60*1.001</f>
        <v>1.9360841499999999</v>
      </c>
    </row>
    <row r="61" spans="1:22" s="28" customFormat="1" ht="31.2" x14ac:dyDescent="0.25">
      <c r="A61" s="23" t="s">
        <v>49</v>
      </c>
      <c r="B61" s="69" t="s">
        <v>95</v>
      </c>
      <c r="C61" s="25" t="s">
        <v>87</v>
      </c>
      <c r="D61" s="43">
        <v>7.5999999999999998E-2</v>
      </c>
      <c r="E61" s="43">
        <v>4.4999999999999998E-2</v>
      </c>
      <c r="F61" s="43">
        <v>4.4999999999999998E-2</v>
      </c>
      <c r="G61" s="43">
        <v>2.5999999999999999E-2</v>
      </c>
      <c r="H61" s="43">
        <v>0.03</v>
      </c>
      <c r="I61" s="43">
        <v>2.5999999999999999E-2</v>
      </c>
      <c r="J61" s="43">
        <v>2.3E-2</v>
      </c>
      <c r="K61" s="43">
        <v>1.7999999999999999E-2</v>
      </c>
      <c r="L61" s="43">
        <v>7.3999999999999996E-2</v>
      </c>
      <c r="M61" s="43">
        <v>2.3E-2</v>
      </c>
      <c r="N61" s="71">
        <v>2.3E-2</v>
      </c>
      <c r="O61" s="71">
        <v>1.9E-2</v>
      </c>
      <c r="P61" s="71">
        <v>2.8000000000000001E-2</v>
      </c>
      <c r="Q61" s="71">
        <f>O61*104.6%</f>
        <v>1.9873999999999999E-2</v>
      </c>
      <c r="R61" s="71">
        <f>P61*1.003</f>
        <v>2.8083999999999998E-2</v>
      </c>
      <c r="S61" s="71">
        <f>Q61*1</f>
        <v>1.9873999999999999E-2</v>
      </c>
      <c r="T61" s="71">
        <f>R61*1.005</f>
        <v>2.8224419999999993E-2</v>
      </c>
      <c r="U61" s="72">
        <f>S61*1.001</f>
        <v>1.9893873999999995E-2</v>
      </c>
    </row>
    <row r="62" spans="1:22" s="28" customFormat="1" ht="15.6" x14ac:dyDescent="0.25">
      <c r="A62" s="23" t="s">
        <v>56</v>
      </c>
      <c r="B62" s="69" t="s">
        <v>96</v>
      </c>
      <c r="C62" s="25" t="s">
        <v>97</v>
      </c>
      <c r="D62" s="43"/>
      <c r="E62" s="43"/>
      <c r="F62" s="43"/>
      <c r="G62" s="43">
        <v>1440.23</v>
      </c>
      <c r="H62" s="43">
        <v>1495.85</v>
      </c>
      <c r="I62" s="43">
        <v>1741.2260000000001</v>
      </c>
      <c r="J62" s="43">
        <v>2002.41</v>
      </c>
      <c r="K62" s="43">
        <v>2031.431</v>
      </c>
      <c r="L62" s="71">
        <v>1950.0329999999999</v>
      </c>
      <c r="M62" s="71">
        <v>2109.1550000000002</v>
      </c>
      <c r="N62" s="71">
        <f>2193.521/12*12</f>
        <v>2193.5210000000002</v>
      </c>
      <c r="O62" s="71">
        <v>2331.7739999999999</v>
      </c>
      <c r="P62" s="71">
        <f>N62*103%</f>
        <v>2259.32663</v>
      </c>
      <c r="Q62" s="71">
        <f>O62*103%</f>
        <v>2401.7272199999998</v>
      </c>
      <c r="R62" s="71">
        <f>P62*103.3%</f>
        <v>2333.8844087899997</v>
      </c>
      <c r="S62" s="71">
        <f>Q62*103.7%</f>
        <v>2490.5911271399996</v>
      </c>
      <c r="T62" s="71">
        <f>R62*103.7%</f>
        <v>2420.2381319152296</v>
      </c>
      <c r="U62" s="72">
        <f>S62*102%</f>
        <v>2540.4029496827998</v>
      </c>
    </row>
    <row r="63" spans="1:22" s="28" customFormat="1" ht="15.6" x14ac:dyDescent="0.25">
      <c r="A63" s="23" t="s">
        <v>59</v>
      </c>
      <c r="B63" s="69" t="s">
        <v>98</v>
      </c>
      <c r="C63" s="25" t="s">
        <v>97</v>
      </c>
      <c r="D63" s="43"/>
      <c r="E63" s="43"/>
      <c r="F63" s="43"/>
      <c r="G63" s="43"/>
      <c r="H63" s="43"/>
      <c r="I63" s="43"/>
      <c r="J63" s="43">
        <v>1413.8340000000001</v>
      </c>
      <c r="K63" s="43">
        <v>1500.8579999999999</v>
      </c>
      <c r="L63" s="43">
        <v>1233.2329999999999</v>
      </c>
      <c r="M63" s="43">
        <v>1331.8920000000001</v>
      </c>
      <c r="N63" s="43">
        <v>1531.6759999999999</v>
      </c>
      <c r="O63" s="43">
        <v>1638.893</v>
      </c>
      <c r="P63" s="71">
        <f>O63*102.3%</f>
        <v>1676.5875389999999</v>
      </c>
      <c r="Q63" s="71">
        <f>O63*103%</f>
        <v>1688.05979</v>
      </c>
      <c r="R63" s="71">
        <f>P63*102.3%</f>
        <v>1715.1490523969997</v>
      </c>
      <c r="S63" s="71">
        <f>Q63*103.7%</f>
        <v>1750.5180022299999</v>
      </c>
      <c r="T63" s="71">
        <f>R63*102.5%</f>
        <v>1758.0277787069244</v>
      </c>
      <c r="U63" s="72">
        <f>S63*102%</f>
        <v>1785.5283622745999</v>
      </c>
    </row>
    <row r="64" spans="1:22" s="28" customFormat="1" ht="15.6" x14ac:dyDescent="0.25">
      <c r="A64" s="23" t="s">
        <v>61</v>
      </c>
      <c r="B64" s="69" t="s">
        <v>99</v>
      </c>
      <c r="C64" s="25" t="s">
        <v>100</v>
      </c>
      <c r="D64" s="43"/>
      <c r="E64" s="43"/>
      <c r="F64" s="43"/>
      <c r="G64" s="43">
        <v>37.658999999999999</v>
      </c>
      <c r="H64" s="43">
        <v>38.073999999999998</v>
      </c>
      <c r="I64" s="43">
        <v>46.402999999999999</v>
      </c>
      <c r="J64" s="43">
        <v>53.311999999999998</v>
      </c>
      <c r="K64" s="43">
        <f>K63/K60/12</f>
        <v>55.268007070260715</v>
      </c>
      <c r="L64" s="43">
        <v>57.526000000000003</v>
      </c>
      <c r="M64" s="43">
        <v>62.499000000000002</v>
      </c>
      <c r="N64" s="71">
        <v>63.915999999999997</v>
      </c>
      <c r="O64" s="71">
        <f>O63/O60/12</f>
        <v>71.805686996144416</v>
      </c>
      <c r="P64" s="71">
        <f>P63/P60/12</f>
        <v>73.091759002045507</v>
      </c>
      <c r="Q64" s="71">
        <f>Q63/Q60/12</f>
        <v>73.457780243690166</v>
      </c>
      <c r="R64" s="71">
        <f t="shared" ref="R64:U64" si="25">R63/R60/12</f>
        <v>74.549221793711425</v>
      </c>
      <c r="S64" s="71">
        <f t="shared" si="25"/>
        <v>75.42150308188782</v>
      </c>
      <c r="T64" s="71">
        <f t="shared" si="25"/>
        <v>76.032788396571348</v>
      </c>
      <c r="U64" s="72">
        <f t="shared" si="25"/>
        <v>76.853080063462116</v>
      </c>
    </row>
    <row r="65" spans="1:21" s="28" customFormat="1" ht="15.6" x14ac:dyDescent="0.25">
      <c r="A65" s="53" t="s">
        <v>101</v>
      </c>
      <c r="B65" s="75" t="s">
        <v>102</v>
      </c>
      <c r="C65" s="76"/>
      <c r="D65" s="43"/>
      <c r="E65" s="43"/>
      <c r="F65" s="43"/>
      <c r="G65" s="43"/>
      <c r="H65" s="43"/>
      <c r="I65" s="43"/>
      <c r="J65" s="43">
        <v>53.311999999999998</v>
      </c>
      <c r="K65" s="43">
        <v>55.268000000000001</v>
      </c>
      <c r="L65" s="43"/>
      <c r="M65" s="43"/>
      <c r="N65" s="44"/>
      <c r="O65" s="44"/>
      <c r="P65" s="44"/>
      <c r="Q65" s="44"/>
      <c r="R65" s="44"/>
      <c r="S65" s="44"/>
      <c r="T65" s="44"/>
      <c r="U65" s="45"/>
    </row>
    <row r="66" spans="1:21" s="28" customFormat="1" ht="15.6" x14ac:dyDescent="0.25">
      <c r="A66" s="78" t="s">
        <v>25</v>
      </c>
      <c r="B66" s="32" t="s">
        <v>103</v>
      </c>
      <c r="C66" s="79" t="s">
        <v>104</v>
      </c>
      <c r="D66" s="43"/>
      <c r="E66" s="43"/>
      <c r="F66" s="43"/>
      <c r="G66" s="43"/>
      <c r="H66" s="43"/>
      <c r="I66" s="43">
        <f>I67+I75</f>
        <v>130.608</v>
      </c>
      <c r="J66" s="43">
        <f t="shared" ref="J66:U66" si="26">J67+J75</f>
        <v>128.39699999999999</v>
      </c>
      <c r="K66" s="71">
        <f t="shared" si="26"/>
        <v>119.50700000000001</v>
      </c>
      <c r="L66" s="71">
        <f t="shared" si="26"/>
        <v>130.50700000000001</v>
      </c>
      <c r="M66" s="118">
        <f t="shared" si="26"/>
        <v>119.31</v>
      </c>
      <c r="N66" s="71">
        <f t="shared" si="26"/>
        <v>136.86599999999999</v>
      </c>
      <c r="O66" s="120">
        <f t="shared" si="26"/>
        <v>131.58500000000001</v>
      </c>
      <c r="P66" s="120">
        <f t="shared" si="26"/>
        <v>75.500999999999991</v>
      </c>
      <c r="Q66" s="120">
        <f t="shared" si="26"/>
        <v>76.256</v>
      </c>
      <c r="R66" s="120">
        <f t="shared" si="26"/>
        <v>77.018169999999998</v>
      </c>
      <c r="S66" s="120">
        <f t="shared" si="26"/>
        <v>77.78843169999999</v>
      </c>
      <c r="T66" s="120">
        <f t="shared" si="26"/>
        <v>77.78843169999999</v>
      </c>
      <c r="U66" s="122">
        <f t="shared" si="26"/>
        <v>79.344200334000007</v>
      </c>
    </row>
    <row r="67" spans="1:21" s="28" customFormat="1" ht="15.6" x14ac:dyDescent="0.25">
      <c r="A67" s="78" t="s">
        <v>28</v>
      </c>
      <c r="B67" s="80" t="s">
        <v>105</v>
      </c>
      <c r="C67" s="79" t="s">
        <v>104</v>
      </c>
      <c r="D67" s="43"/>
      <c r="E67" s="43"/>
      <c r="F67" s="43"/>
      <c r="G67" s="43"/>
      <c r="H67" s="43"/>
      <c r="I67" s="43">
        <f>I68+I74</f>
        <v>39.332999999999998</v>
      </c>
      <c r="J67" s="43">
        <f t="shared" ref="J67:U67" si="27">J68+J74</f>
        <v>42.494</v>
      </c>
      <c r="K67" s="71">
        <f t="shared" si="27"/>
        <v>44.304000000000002</v>
      </c>
      <c r="L67" s="71">
        <f t="shared" si="27"/>
        <v>40.704999999999998</v>
      </c>
      <c r="M67" s="71">
        <f t="shared" si="27"/>
        <v>46.585999999999999</v>
      </c>
      <c r="N67" s="71">
        <f t="shared" si="27"/>
        <v>44.086999999999989</v>
      </c>
      <c r="O67" s="120">
        <f t="shared" si="27"/>
        <v>33.866999999999997</v>
      </c>
      <c r="P67" s="120">
        <f t="shared" si="27"/>
        <v>34.366999999999997</v>
      </c>
      <c r="Q67" s="120">
        <f t="shared" si="27"/>
        <v>36.539000000000001</v>
      </c>
      <c r="R67" s="120">
        <f t="shared" si="27"/>
        <v>36.904000000000003</v>
      </c>
      <c r="S67" s="120">
        <f t="shared" si="27"/>
        <v>37.273119999999999</v>
      </c>
      <c r="T67" s="120">
        <f t="shared" si="27"/>
        <v>37.273119999999999</v>
      </c>
      <c r="U67" s="122">
        <f t="shared" si="27"/>
        <v>38.0185824</v>
      </c>
    </row>
    <row r="68" spans="1:21" s="28" customFormat="1" ht="15.6" x14ac:dyDescent="0.25">
      <c r="A68" s="78" t="s">
        <v>106</v>
      </c>
      <c r="B68" s="32" t="s">
        <v>107</v>
      </c>
      <c r="C68" s="79" t="s">
        <v>104</v>
      </c>
      <c r="D68" s="43"/>
      <c r="E68" s="43"/>
      <c r="F68" s="43"/>
      <c r="G68" s="43"/>
      <c r="H68" s="43"/>
      <c r="I68" s="43">
        <f>SUM(I69:I73)</f>
        <v>30.017999999999997</v>
      </c>
      <c r="J68" s="43">
        <f t="shared" ref="J68:U68" si="28">SUM(J69:J73)</f>
        <v>32.369</v>
      </c>
      <c r="K68" s="71">
        <f t="shared" si="28"/>
        <v>36.539000000000001</v>
      </c>
      <c r="L68" s="71">
        <f t="shared" si="28"/>
        <v>32.738999999999997</v>
      </c>
      <c r="M68" s="71">
        <f t="shared" si="28"/>
        <v>32.241</v>
      </c>
      <c r="N68" s="71">
        <f t="shared" si="28"/>
        <v>33.98899999999999</v>
      </c>
      <c r="O68" s="120">
        <f t="shared" si="28"/>
        <v>26.084999999999997</v>
      </c>
      <c r="P68" s="120">
        <f t="shared" si="28"/>
        <v>26.584999999999997</v>
      </c>
      <c r="Q68" s="120">
        <f t="shared" si="28"/>
        <v>31.240000000000002</v>
      </c>
      <c r="R68" s="120">
        <f t="shared" si="28"/>
        <v>31.516000000000005</v>
      </c>
      <c r="S68" s="120">
        <f t="shared" si="28"/>
        <v>31.831240000000001</v>
      </c>
      <c r="T68" s="120">
        <f t="shared" si="28"/>
        <v>31.831240000000001</v>
      </c>
      <c r="U68" s="122">
        <f t="shared" si="28"/>
        <v>32.467864800000001</v>
      </c>
    </row>
    <row r="69" spans="1:21" s="28" customFormat="1" ht="15.6" x14ac:dyDescent="0.25">
      <c r="A69" s="78"/>
      <c r="B69" s="81" t="s">
        <v>108</v>
      </c>
      <c r="C69" s="79" t="s">
        <v>104</v>
      </c>
      <c r="D69" s="43"/>
      <c r="E69" s="43"/>
      <c r="F69" s="43"/>
      <c r="G69" s="43"/>
      <c r="H69" s="43"/>
      <c r="I69" s="43">
        <v>22.670999999999999</v>
      </c>
      <c r="J69" s="43">
        <v>25.16</v>
      </c>
      <c r="K69" s="71">
        <v>29.074000000000002</v>
      </c>
      <c r="L69" s="71">
        <v>25.425999999999998</v>
      </c>
      <c r="M69" s="71">
        <v>23.117999999999999</v>
      </c>
      <c r="N69" s="71">
        <v>23.766999999999999</v>
      </c>
      <c r="O69" s="71">
        <v>17.899999999999999</v>
      </c>
      <c r="P69" s="71">
        <v>18.399999999999999</v>
      </c>
      <c r="Q69" s="71">
        <v>22.8</v>
      </c>
      <c r="R69" s="71">
        <f>Q69*1.01-0.004</f>
        <v>23.024000000000001</v>
      </c>
      <c r="S69" s="71">
        <f>R69*1.01+0.085</f>
        <v>23.33924</v>
      </c>
      <c r="T69" s="71">
        <v>23.33924</v>
      </c>
      <c r="U69" s="72">
        <f>S69*1.02</f>
        <v>23.806024799999999</v>
      </c>
    </row>
    <row r="70" spans="1:21" s="28" customFormat="1" ht="15.6" x14ac:dyDescent="0.25">
      <c r="A70" s="78"/>
      <c r="B70" s="81" t="s">
        <v>109</v>
      </c>
      <c r="C70" s="79" t="s">
        <v>104</v>
      </c>
      <c r="D70" s="43"/>
      <c r="E70" s="43"/>
      <c r="F70" s="43"/>
      <c r="G70" s="43"/>
      <c r="H70" s="43"/>
      <c r="I70" s="43">
        <v>4.6040000000000001</v>
      </c>
      <c r="J70" s="43">
        <v>4.96</v>
      </c>
      <c r="K70" s="71">
        <v>4.5659999999999998</v>
      </c>
      <c r="L70" s="71">
        <v>4.1849999999999996</v>
      </c>
      <c r="M70" s="71">
        <v>4.7889999999999997</v>
      </c>
      <c r="N70" s="71">
        <v>5.7889999999999997</v>
      </c>
      <c r="O70" s="71">
        <v>5.1619999999999999</v>
      </c>
      <c r="P70" s="71">
        <v>5.1619999999999999</v>
      </c>
      <c r="Q70" s="71">
        <v>5.2</v>
      </c>
      <c r="R70" s="71">
        <f>Q70*1.01</f>
        <v>5.2520000000000007</v>
      </c>
      <c r="S70" s="71">
        <v>5.2520000000000007</v>
      </c>
      <c r="T70" s="71">
        <v>5.2520000000000007</v>
      </c>
      <c r="U70" s="72">
        <f t="shared" ref="U70:U73" si="29">S70*1.02</f>
        <v>5.3570400000000005</v>
      </c>
    </row>
    <row r="71" spans="1:21" s="28" customFormat="1" ht="15.6" x14ac:dyDescent="0.25">
      <c r="A71" s="78"/>
      <c r="B71" s="81" t="s">
        <v>110</v>
      </c>
      <c r="C71" s="79" t="s">
        <v>104</v>
      </c>
      <c r="D71" s="43"/>
      <c r="E71" s="43"/>
      <c r="F71" s="43"/>
      <c r="G71" s="43"/>
      <c r="H71" s="43"/>
      <c r="I71" s="43">
        <v>0.755</v>
      </c>
      <c r="J71" s="43">
        <v>0.89700000000000002</v>
      </c>
      <c r="K71" s="71">
        <v>1.3129999999999999</v>
      </c>
      <c r="L71" s="71">
        <v>1.5329999999999999</v>
      </c>
      <c r="M71" s="71">
        <v>2.3260000000000001</v>
      </c>
      <c r="N71" s="71">
        <v>2.9340000000000002</v>
      </c>
      <c r="O71" s="71">
        <v>1.5</v>
      </c>
      <c r="P71" s="71">
        <v>1.5</v>
      </c>
      <c r="Q71" s="71">
        <v>1.7</v>
      </c>
      <c r="R71" s="71">
        <v>1.7</v>
      </c>
      <c r="S71" s="71">
        <v>1.7</v>
      </c>
      <c r="T71" s="71">
        <v>1.7</v>
      </c>
      <c r="U71" s="72">
        <f t="shared" si="29"/>
        <v>1.734</v>
      </c>
    </row>
    <row r="72" spans="1:21" s="28" customFormat="1" ht="15.6" x14ac:dyDescent="0.25">
      <c r="A72" s="78"/>
      <c r="B72" s="81" t="s">
        <v>111</v>
      </c>
      <c r="C72" s="79" t="s">
        <v>104</v>
      </c>
      <c r="D72" s="43"/>
      <c r="E72" s="43"/>
      <c r="F72" s="43"/>
      <c r="G72" s="43"/>
      <c r="H72" s="43"/>
      <c r="I72" s="43">
        <v>0</v>
      </c>
      <c r="J72" s="43">
        <v>0</v>
      </c>
      <c r="K72" s="71">
        <v>0</v>
      </c>
      <c r="L72" s="71">
        <v>0.20799999999999999</v>
      </c>
      <c r="M72" s="71">
        <v>0.22900000000000001</v>
      </c>
      <c r="N72" s="71">
        <v>0.23</v>
      </c>
      <c r="O72" s="71">
        <v>0.20300000000000001</v>
      </c>
      <c r="P72" s="71">
        <v>0.20300000000000001</v>
      </c>
      <c r="Q72" s="71">
        <v>0.21</v>
      </c>
      <c r="R72" s="71">
        <v>0.21</v>
      </c>
      <c r="S72" s="71">
        <v>0.21</v>
      </c>
      <c r="T72" s="71">
        <v>0.21</v>
      </c>
      <c r="U72" s="72">
        <f t="shared" si="29"/>
        <v>0.2142</v>
      </c>
    </row>
    <row r="73" spans="1:21" s="28" customFormat="1" ht="15.6" x14ac:dyDescent="0.25">
      <c r="A73" s="78"/>
      <c r="B73" s="81" t="s">
        <v>112</v>
      </c>
      <c r="C73" s="79" t="s">
        <v>104</v>
      </c>
      <c r="D73" s="43"/>
      <c r="E73" s="43"/>
      <c r="F73" s="43"/>
      <c r="G73" s="43"/>
      <c r="H73" s="43"/>
      <c r="I73" s="43">
        <v>1.988</v>
      </c>
      <c r="J73" s="43">
        <v>1.3520000000000001</v>
      </c>
      <c r="K73" s="71">
        <v>1.5860000000000001</v>
      </c>
      <c r="L73" s="71">
        <v>1.387</v>
      </c>
      <c r="M73" s="71">
        <v>1.7789999999999999</v>
      </c>
      <c r="N73" s="71">
        <v>1.2689999999999999</v>
      </c>
      <c r="O73" s="71">
        <v>1.32</v>
      </c>
      <c r="P73" s="71">
        <v>1.32</v>
      </c>
      <c r="Q73" s="71">
        <v>1.33</v>
      </c>
      <c r="R73" s="71">
        <v>1.33</v>
      </c>
      <c r="S73" s="71">
        <v>1.33</v>
      </c>
      <c r="T73" s="71">
        <v>1.33</v>
      </c>
      <c r="U73" s="72">
        <f t="shared" si="29"/>
        <v>1.3566</v>
      </c>
    </row>
    <row r="74" spans="1:21" s="28" customFormat="1" ht="15.6" x14ac:dyDescent="0.25">
      <c r="A74" s="78" t="s">
        <v>113</v>
      </c>
      <c r="B74" s="32" t="s">
        <v>114</v>
      </c>
      <c r="C74" s="79" t="s">
        <v>104</v>
      </c>
      <c r="D74" s="43"/>
      <c r="E74" s="43"/>
      <c r="F74" s="43"/>
      <c r="G74" s="43"/>
      <c r="H74" s="43"/>
      <c r="I74" s="43">
        <v>9.3149999999999995</v>
      </c>
      <c r="J74" s="43">
        <v>10.125</v>
      </c>
      <c r="K74" s="71">
        <v>7.7649999999999997</v>
      </c>
      <c r="L74" s="71">
        <v>7.9660000000000002</v>
      </c>
      <c r="M74" s="71">
        <v>14.345000000000001</v>
      </c>
      <c r="N74" s="71">
        <v>10.098000000000001</v>
      </c>
      <c r="O74" s="120">
        <v>7.782</v>
      </c>
      <c r="P74" s="120">
        <v>7.782</v>
      </c>
      <c r="Q74" s="120">
        <v>5.2990000000000004</v>
      </c>
      <c r="R74" s="120">
        <v>5.3879999999999999</v>
      </c>
      <c r="S74" s="120">
        <f>R74*1.01</f>
        <v>5.4418800000000003</v>
      </c>
      <c r="T74" s="120">
        <v>5.4418800000000003</v>
      </c>
      <c r="U74" s="122">
        <f>S74*1.02</f>
        <v>5.5507176000000005</v>
      </c>
    </row>
    <row r="75" spans="1:21" s="28" customFormat="1" ht="15.6" x14ac:dyDescent="0.25">
      <c r="A75" s="78" t="s">
        <v>30</v>
      </c>
      <c r="B75" s="80" t="s">
        <v>115</v>
      </c>
      <c r="C75" s="79" t="s">
        <v>104</v>
      </c>
      <c r="D75" s="43"/>
      <c r="E75" s="43"/>
      <c r="F75" s="43"/>
      <c r="G75" s="43"/>
      <c r="H75" s="43"/>
      <c r="I75" s="43">
        <f t="shared" ref="I75:R75" si="30">SUM(I76:I78)</f>
        <v>91.275000000000006</v>
      </c>
      <c r="J75" s="43">
        <f t="shared" si="30"/>
        <v>85.903000000000006</v>
      </c>
      <c r="K75" s="71">
        <f t="shared" ref="K75" si="31">SUM(K76:K78)</f>
        <v>75.203000000000003</v>
      </c>
      <c r="L75" s="71">
        <f>SUM(L76:L78)+0.126</f>
        <v>89.802000000000007</v>
      </c>
      <c r="M75" s="71">
        <f t="shared" ref="M75" si="32">SUM(M76:M78)</f>
        <v>72.724000000000004</v>
      </c>
      <c r="N75" s="71">
        <f t="shared" ref="N75" si="33">SUM(N76:N78)</f>
        <v>92.779000000000011</v>
      </c>
      <c r="O75" s="120">
        <f>SUM(O76:O78)+0.5</f>
        <v>97.718000000000004</v>
      </c>
      <c r="P75" s="120">
        <f t="shared" si="30"/>
        <v>41.133999999999993</v>
      </c>
      <c r="Q75" s="120">
        <f t="shared" ref="Q75" si="34">SUM(Q76:Q78)</f>
        <v>39.716999999999999</v>
      </c>
      <c r="R75" s="120">
        <f t="shared" si="30"/>
        <v>40.114170000000001</v>
      </c>
      <c r="S75" s="120">
        <f t="shared" ref="S75:U75" si="35">SUM(S76:S78)</f>
        <v>40.515311699999998</v>
      </c>
      <c r="T75" s="120">
        <f t="shared" si="35"/>
        <v>40.515311699999998</v>
      </c>
      <c r="U75" s="122">
        <f t="shared" si="35"/>
        <v>41.325617934000007</v>
      </c>
    </row>
    <row r="76" spans="1:21" s="28" customFormat="1" ht="15.6" x14ac:dyDescent="0.25">
      <c r="A76" s="78"/>
      <c r="B76" s="81" t="s">
        <v>116</v>
      </c>
      <c r="C76" s="79" t="s">
        <v>104</v>
      </c>
      <c r="D76" s="43"/>
      <c r="E76" s="43"/>
      <c r="F76" s="43"/>
      <c r="G76" s="43"/>
      <c r="H76" s="43"/>
      <c r="I76" s="43">
        <v>11.375999999999999</v>
      </c>
      <c r="J76" s="43">
        <v>18.137</v>
      </c>
      <c r="K76" s="71">
        <v>20.797999999999998</v>
      </c>
      <c r="L76" s="71">
        <v>32.329000000000001</v>
      </c>
      <c r="M76" s="71">
        <f>58.07+6.88</f>
        <v>64.95</v>
      </c>
      <c r="N76" s="71">
        <v>84.555000000000007</v>
      </c>
      <c r="O76" s="71">
        <v>88.372</v>
      </c>
      <c r="P76" s="71">
        <v>32.287999999999997</v>
      </c>
      <c r="Q76" s="71">
        <v>30.553999999999998</v>
      </c>
      <c r="R76" s="71">
        <f>Q76*1.01</f>
        <v>30.859539999999999</v>
      </c>
      <c r="S76" s="71">
        <f t="shared" ref="S76:S78" si="36">R76*1.01</f>
        <v>31.168135400000001</v>
      </c>
      <c r="T76" s="71">
        <v>31.168135400000001</v>
      </c>
      <c r="U76" s="72">
        <f t="shared" ref="U76:U78" si="37">S76*1.02</f>
        <v>31.791498108000003</v>
      </c>
    </row>
    <row r="77" spans="1:21" s="28" customFormat="1" ht="15.6" x14ac:dyDescent="0.25">
      <c r="A77" s="78"/>
      <c r="B77" s="81" t="s">
        <v>117</v>
      </c>
      <c r="C77" s="79" t="s">
        <v>104</v>
      </c>
      <c r="D77" s="43"/>
      <c r="E77" s="43"/>
      <c r="F77" s="43"/>
      <c r="G77" s="43"/>
      <c r="H77" s="43"/>
      <c r="I77" s="43">
        <v>0.71899999999999997</v>
      </c>
      <c r="J77" s="43">
        <v>0.86399999999999999</v>
      </c>
      <c r="K77" s="71">
        <v>0.63700000000000001</v>
      </c>
      <c r="L77" s="71">
        <v>0.71599999999999997</v>
      </c>
      <c r="M77" s="71">
        <v>0.74299999999999999</v>
      </c>
      <c r="N77" s="71">
        <v>0.68300000000000005</v>
      </c>
      <c r="O77" s="71">
        <v>0.72399999999999998</v>
      </c>
      <c r="P77" s="71">
        <v>0.72399999999999998</v>
      </c>
      <c r="Q77" s="71">
        <v>0.82</v>
      </c>
      <c r="R77" s="71">
        <f t="shared" ref="R77:R78" si="38">Q77*1.01</f>
        <v>0.82819999999999994</v>
      </c>
      <c r="S77" s="71">
        <f t="shared" si="36"/>
        <v>0.83648199999999995</v>
      </c>
      <c r="T77" s="71">
        <v>0.83648199999999995</v>
      </c>
      <c r="U77" s="72">
        <f t="shared" si="37"/>
        <v>0.85321163999999994</v>
      </c>
    </row>
    <row r="78" spans="1:21" s="28" customFormat="1" ht="15.6" x14ac:dyDescent="0.25">
      <c r="A78" s="78"/>
      <c r="B78" s="81" t="s">
        <v>118</v>
      </c>
      <c r="C78" s="79" t="s">
        <v>104</v>
      </c>
      <c r="D78" s="43"/>
      <c r="E78" s="43"/>
      <c r="F78" s="43"/>
      <c r="G78" s="43"/>
      <c r="H78" s="43"/>
      <c r="I78" s="43">
        <v>79.180000000000007</v>
      </c>
      <c r="J78" s="43">
        <v>66.902000000000001</v>
      </c>
      <c r="K78" s="71">
        <v>53.768000000000001</v>
      </c>
      <c r="L78" s="71">
        <v>56.631</v>
      </c>
      <c r="M78" s="71">
        <v>7.0309999999999997</v>
      </c>
      <c r="N78" s="71">
        <v>7.5410000000000004</v>
      </c>
      <c r="O78" s="71">
        <v>8.1219999999999999</v>
      </c>
      <c r="P78" s="71">
        <v>8.1219999999999999</v>
      </c>
      <c r="Q78" s="71">
        <v>8.343</v>
      </c>
      <c r="R78" s="71">
        <f t="shared" si="38"/>
        <v>8.4264299999999999</v>
      </c>
      <c r="S78" s="71">
        <f t="shared" si="36"/>
        <v>8.5106943000000008</v>
      </c>
      <c r="T78" s="71">
        <v>8.5106943000000008</v>
      </c>
      <c r="U78" s="72">
        <f t="shared" si="37"/>
        <v>8.6809081860000017</v>
      </c>
    </row>
    <row r="79" spans="1:21" s="28" customFormat="1" ht="31.2" x14ac:dyDescent="0.25">
      <c r="A79" s="78" t="s">
        <v>49</v>
      </c>
      <c r="B79" s="32" t="s">
        <v>119</v>
      </c>
      <c r="C79" s="79" t="s">
        <v>104</v>
      </c>
      <c r="D79" s="43"/>
      <c r="E79" s="43"/>
      <c r="F79" s="43"/>
      <c r="G79" s="43"/>
      <c r="H79" s="43"/>
      <c r="I79" s="43">
        <f>SUM(I80:I89)</f>
        <v>127.63700000000001</v>
      </c>
      <c r="J79" s="43">
        <f t="shared" ref="J79:U79" si="39">SUM(J80:J89)</f>
        <v>129.256</v>
      </c>
      <c r="K79" s="71">
        <f t="shared" si="39"/>
        <v>122.46000000000001</v>
      </c>
      <c r="L79" s="71">
        <f t="shared" si="39"/>
        <v>130.02799999999999</v>
      </c>
      <c r="M79" s="71">
        <f t="shared" ref="M79" si="40">SUM(M80:M89)</f>
        <v>119.86700000000002</v>
      </c>
      <c r="N79" s="71">
        <f t="shared" ref="N79" si="41">SUM(N80:N89)</f>
        <v>135.01999999999998</v>
      </c>
      <c r="O79" s="120">
        <f t="shared" si="39"/>
        <v>135.41200000000001</v>
      </c>
      <c r="P79" s="120">
        <f t="shared" si="39"/>
        <v>75.501000000000005</v>
      </c>
      <c r="Q79" s="120">
        <f t="shared" si="39"/>
        <v>76.256009999999989</v>
      </c>
      <c r="R79" s="120">
        <f t="shared" si="39"/>
        <v>77.018570100000005</v>
      </c>
      <c r="S79" s="120">
        <f t="shared" si="39"/>
        <v>77.788755800999994</v>
      </c>
      <c r="T79" s="120">
        <f t="shared" si="39"/>
        <v>77.788755800999994</v>
      </c>
      <c r="U79" s="122">
        <f t="shared" si="39"/>
        <v>79.344530917020009</v>
      </c>
    </row>
    <row r="80" spans="1:21" s="28" customFormat="1" ht="15.6" x14ac:dyDescent="0.25">
      <c r="A80" s="78"/>
      <c r="B80" s="81" t="s">
        <v>120</v>
      </c>
      <c r="C80" s="79" t="s">
        <v>104</v>
      </c>
      <c r="D80" s="43"/>
      <c r="E80" s="43"/>
      <c r="F80" s="43"/>
      <c r="G80" s="43"/>
      <c r="H80" s="43"/>
      <c r="I80" s="43">
        <v>31.364000000000001</v>
      </c>
      <c r="J80" s="43">
        <v>33.994</v>
      </c>
      <c r="K80" s="71">
        <v>33.368000000000002</v>
      </c>
      <c r="L80" s="71">
        <v>32.505000000000003</v>
      </c>
      <c r="M80" s="71">
        <v>39.548000000000002</v>
      </c>
      <c r="N80" s="71">
        <v>35.765999999999998</v>
      </c>
      <c r="O80" s="71">
        <v>37.531999999999996</v>
      </c>
      <c r="P80" s="71">
        <v>30.867999999999999</v>
      </c>
      <c r="Q80" s="71">
        <f>P80*1.01</f>
        <v>31.176679999999998</v>
      </c>
      <c r="R80" s="71">
        <f>Q80*1.01</f>
        <v>31.488446799999998</v>
      </c>
      <c r="S80" s="71">
        <f>R80*1.01</f>
        <v>31.803331267999997</v>
      </c>
      <c r="T80" s="71">
        <v>31.803331267999997</v>
      </c>
      <c r="U80" s="72">
        <f t="shared" ref="U80:U89" si="42">S80*1.02</f>
        <v>32.439397893359995</v>
      </c>
    </row>
    <row r="81" spans="1:21" s="28" customFormat="1" ht="15.6" x14ac:dyDescent="0.25">
      <c r="A81" s="78"/>
      <c r="B81" s="81" t="s">
        <v>121</v>
      </c>
      <c r="C81" s="79" t="s">
        <v>104</v>
      </c>
      <c r="D81" s="43"/>
      <c r="E81" s="43"/>
      <c r="F81" s="43"/>
      <c r="G81" s="43"/>
      <c r="H81" s="43"/>
      <c r="I81" s="43">
        <v>0.46400000000000002</v>
      </c>
      <c r="J81" s="43">
        <v>0.72699999999999998</v>
      </c>
      <c r="K81" s="71">
        <v>0.52</v>
      </c>
      <c r="L81" s="71">
        <v>0.60199999999999998</v>
      </c>
      <c r="M81" s="71">
        <v>0.621</v>
      </c>
      <c r="N81" s="71">
        <v>0.59899999999999998</v>
      </c>
      <c r="O81" s="71">
        <v>0.59499999999999997</v>
      </c>
      <c r="P81" s="71">
        <v>0.51100000000000001</v>
      </c>
      <c r="Q81" s="71">
        <f t="shared" ref="Q81:S89" si="43">P81*1.01</f>
        <v>0.51611000000000007</v>
      </c>
      <c r="R81" s="71">
        <f t="shared" si="43"/>
        <v>0.5212711000000001</v>
      </c>
      <c r="S81" s="71">
        <f t="shared" si="43"/>
        <v>0.52648381100000008</v>
      </c>
      <c r="T81" s="71">
        <v>0.52648381100000008</v>
      </c>
      <c r="U81" s="72">
        <f t="shared" si="42"/>
        <v>0.53701348722000009</v>
      </c>
    </row>
    <row r="82" spans="1:21" s="28" customFormat="1" ht="15.6" x14ac:dyDescent="0.25">
      <c r="A82" s="82"/>
      <c r="B82" s="83" t="s">
        <v>122</v>
      </c>
      <c r="C82" s="84" t="s">
        <v>104</v>
      </c>
      <c r="D82" s="43"/>
      <c r="E82" s="43"/>
      <c r="F82" s="43"/>
      <c r="G82" s="43"/>
      <c r="H82" s="43"/>
      <c r="I82" s="43">
        <v>1.242</v>
      </c>
      <c r="J82" s="43">
        <v>0.94299999999999995</v>
      </c>
      <c r="K82" s="71">
        <v>1.202</v>
      </c>
      <c r="L82" s="71">
        <v>4.056</v>
      </c>
      <c r="M82" s="71">
        <v>1.054</v>
      </c>
      <c r="N82" s="71">
        <v>1.0249999999999999</v>
      </c>
      <c r="O82" s="71">
        <v>0.95699999999999996</v>
      </c>
      <c r="P82" s="71">
        <v>0.90300000000000002</v>
      </c>
      <c r="Q82" s="71">
        <f t="shared" si="43"/>
        <v>0.91203000000000001</v>
      </c>
      <c r="R82" s="71">
        <f t="shared" si="43"/>
        <v>0.92115029999999998</v>
      </c>
      <c r="S82" s="71">
        <f t="shared" si="43"/>
        <v>0.93036180299999993</v>
      </c>
      <c r="T82" s="71">
        <v>0.93036180299999993</v>
      </c>
      <c r="U82" s="72">
        <f t="shared" si="42"/>
        <v>0.94896903905999996</v>
      </c>
    </row>
    <row r="83" spans="1:21" s="28" customFormat="1" ht="15.6" x14ac:dyDescent="0.25">
      <c r="A83" s="78"/>
      <c r="B83" s="81" t="s">
        <v>123</v>
      </c>
      <c r="C83" s="79" t="s">
        <v>104</v>
      </c>
      <c r="D83" s="43"/>
      <c r="E83" s="43"/>
      <c r="F83" s="43"/>
      <c r="G83" s="43"/>
      <c r="H83" s="43"/>
      <c r="I83" s="43">
        <v>9.56</v>
      </c>
      <c r="J83" s="43">
        <v>9.2010000000000005</v>
      </c>
      <c r="K83" s="71">
        <v>10.430999999999999</v>
      </c>
      <c r="L83" s="71">
        <v>7.6790000000000003</v>
      </c>
      <c r="M83" s="71">
        <v>14.413</v>
      </c>
      <c r="N83" s="71">
        <v>11.584</v>
      </c>
      <c r="O83" s="71">
        <v>11.711</v>
      </c>
      <c r="P83" s="71">
        <v>6.8659999999999997</v>
      </c>
      <c r="Q83" s="71">
        <f t="shared" si="43"/>
        <v>6.93466</v>
      </c>
      <c r="R83" s="71">
        <f t="shared" si="43"/>
        <v>7.0040066000000003</v>
      </c>
      <c r="S83" s="71">
        <f t="shared" si="43"/>
        <v>7.0740466660000001</v>
      </c>
      <c r="T83" s="71">
        <v>7.0740466660000001</v>
      </c>
      <c r="U83" s="72">
        <f t="shared" si="42"/>
        <v>7.2155275993200005</v>
      </c>
    </row>
    <row r="84" spans="1:21" s="28" customFormat="1" ht="15.6" x14ac:dyDescent="0.25">
      <c r="A84" s="78"/>
      <c r="B84" s="81" t="s">
        <v>124</v>
      </c>
      <c r="C84" s="79" t="s">
        <v>104</v>
      </c>
      <c r="D84" s="43"/>
      <c r="E84" s="43"/>
      <c r="F84" s="43"/>
      <c r="G84" s="43"/>
      <c r="H84" s="43"/>
      <c r="I84" s="43">
        <v>43.795000000000002</v>
      </c>
      <c r="J84" s="43">
        <v>41.646000000000001</v>
      </c>
      <c r="K84" s="71">
        <v>33.779000000000003</v>
      </c>
      <c r="L84" s="71">
        <v>48.308999999999997</v>
      </c>
      <c r="M84" s="71">
        <v>30.132000000000001</v>
      </c>
      <c r="N84" s="71">
        <v>47.83</v>
      </c>
      <c r="O84" s="71">
        <v>34.573999999999998</v>
      </c>
      <c r="P84" s="71">
        <v>3.484</v>
      </c>
      <c r="Q84" s="71">
        <f t="shared" si="43"/>
        <v>3.51884</v>
      </c>
      <c r="R84" s="71">
        <f t="shared" si="43"/>
        <v>3.5540284</v>
      </c>
      <c r="S84" s="71">
        <f t="shared" si="43"/>
        <v>3.5895686840000001</v>
      </c>
      <c r="T84" s="71">
        <v>3.5895686840000001</v>
      </c>
      <c r="U84" s="72">
        <f t="shared" si="42"/>
        <v>3.6613600576800001</v>
      </c>
    </row>
    <row r="85" spans="1:21" s="28" customFormat="1" ht="15.6" x14ac:dyDescent="0.25">
      <c r="A85" s="78"/>
      <c r="B85" s="81" t="s">
        <v>125</v>
      </c>
      <c r="C85" s="79" t="s">
        <v>104</v>
      </c>
      <c r="D85" s="43"/>
      <c r="E85" s="43"/>
      <c r="F85" s="43"/>
      <c r="G85" s="43"/>
      <c r="H85" s="43"/>
      <c r="I85" s="43"/>
      <c r="J85" s="43">
        <v>2E-3</v>
      </c>
      <c r="K85" s="71">
        <v>0</v>
      </c>
      <c r="L85" s="71">
        <v>2E-3</v>
      </c>
      <c r="M85" s="71">
        <v>0</v>
      </c>
      <c r="N85" s="71">
        <v>0.66</v>
      </c>
      <c r="O85" s="71">
        <v>0.66</v>
      </c>
      <c r="P85" s="71">
        <v>0</v>
      </c>
      <c r="Q85" s="71">
        <f t="shared" si="43"/>
        <v>0</v>
      </c>
      <c r="R85" s="71">
        <f t="shared" si="43"/>
        <v>0</v>
      </c>
      <c r="S85" s="71">
        <f t="shared" si="43"/>
        <v>0</v>
      </c>
      <c r="T85" s="71">
        <v>0</v>
      </c>
      <c r="U85" s="72">
        <f t="shared" si="42"/>
        <v>0</v>
      </c>
    </row>
    <row r="86" spans="1:21" s="28" customFormat="1" ht="15.6" hidden="1" outlineLevel="1" x14ac:dyDescent="0.25">
      <c r="A86" s="78"/>
      <c r="B86" s="81" t="s">
        <v>126</v>
      </c>
      <c r="C86" s="79" t="s">
        <v>104</v>
      </c>
      <c r="D86" s="43"/>
      <c r="E86" s="43"/>
      <c r="F86" s="43"/>
      <c r="G86" s="43"/>
      <c r="H86" s="43"/>
      <c r="I86" s="43">
        <v>0.24199999999999999</v>
      </c>
      <c r="J86" s="43">
        <v>0</v>
      </c>
      <c r="K86" s="71">
        <v>0</v>
      </c>
      <c r="L86" s="71">
        <v>7.0000000000000001E-3</v>
      </c>
      <c r="M86" s="71">
        <v>0</v>
      </c>
      <c r="N86" s="71">
        <v>0</v>
      </c>
      <c r="O86" s="71">
        <v>0</v>
      </c>
      <c r="P86" s="71">
        <v>0</v>
      </c>
      <c r="Q86" s="71">
        <f t="shared" si="43"/>
        <v>0</v>
      </c>
      <c r="R86" s="71">
        <f t="shared" si="43"/>
        <v>0</v>
      </c>
      <c r="S86" s="71">
        <f t="shared" si="43"/>
        <v>0</v>
      </c>
      <c r="T86" s="71">
        <v>0</v>
      </c>
      <c r="U86" s="72">
        <f t="shared" si="42"/>
        <v>0</v>
      </c>
    </row>
    <row r="87" spans="1:21" s="28" customFormat="1" ht="15.6" collapsed="1" x14ac:dyDescent="0.25">
      <c r="A87" s="78"/>
      <c r="B87" s="81" t="s">
        <v>127</v>
      </c>
      <c r="C87" s="79" t="s">
        <v>104</v>
      </c>
      <c r="D87" s="43"/>
      <c r="E87" s="43"/>
      <c r="F87" s="43"/>
      <c r="G87" s="43"/>
      <c r="H87" s="43"/>
      <c r="I87" s="43">
        <v>24.741</v>
      </c>
      <c r="J87" s="43">
        <v>26.234999999999999</v>
      </c>
      <c r="K87" s="71">
        <v>27.763999999999999</v>
      </c>
      <c r="L87" s="71">
        <v>22.994</v>
      </c>
      <c r="M87" s="71">
        <v>21.064</v>
      </c>
      <c r="N87" s="71">
        <v>23.893999999999998</v>
      </c>
      <c r="O87" s="71">
        <v>25.759</v>
      </c>
      <c r="P87" s="71">
        <v>21.126999999999999</v>
      </c>
      <c r="Q87" s="71">
        <f t="shared" si="43"/>
        <v>21.338269999999998</v>
      </c>
      <c r="R87" s="71">
        <f t="shared" si="43"/>
        <v>21.551652699999998</v>
      </c>
      <c r="S87" s="71">
        <f t="shared" si="43"/>
        <v>21.767169227</v>
      </c>
      <c r="T87" s="71">
        <v>21.767169227</v>
      </c>
      <c r="U87" s="72">
        <f t="shared" si="42"/>
        <v>22.202512611540001</v>
      </c>
    </row>
    <row r="88" spans="1:21" s="28" customFormat="1" ht="15.6" x14ac:dyDescent="0.25">
      <c r="A88" s="78"/>
      <c r="B88" s="81" t="s">
        <v>128</v>
      </c>
      <c r="C88" s="79" t="s">
        <v>104</v>
      </c>
      <c r="D88" s="43"/>
      <c r="E88" s="43"/>
      <c r="F88" s="43"/>
      <c r="G88" s="43"/>
      <c r="H88" s="43"/>
      <c r="I88" s="43">
        <v>0</v>
      </c>
      <c r="J88" s="43">
        <v>1.4999999999999999E-2</v>
      </c>
      <c r="K88" s="71">
        <v>0.18</v>
      </c>
      <c r="L88" s="71">
        <v>0.13500000000000001</v>
      </c>
      <c r="M88" s="71">
        <v>0.125</v>
      </c>
      <c r="N88" s="71">
        <v>0.125</v>
      </c>
      <c r="O88" s="71">
        <v>0.12</v>
      </c>
      <c r="P88" s="71">
        <v>0.12</v>
      </c>
      <c r="Q88" s="71">
        <f t="shared" si="43"/>
        <v>0.1212</v>
      </c>
      <c r="R88" s="71">
        <f t="shared" si="43"/>
        <v>0.12241200000000001</v>
      </c>
      <c r="S88" s="71">
        <f t="shared" si="43"/>
        <v>0.12363612</v>
      </c>
      <c r="T88" s="71">
        <v>0.12363612</v>
      </c>
      <c r="U88" s="72">
        <f t="shared" si="42"/>
        <v>0.1261088424</v>
      </c>
    </row>
    <row r="89" spans="1:21" s="28" customFormat="1" ht="15.6" x14ac:dyDescent="0.25">
      <c r="A89" s="78"/>
      <c r="B89" s="81" t="s">
        <v>129</v>
      </c>
      <c r="C89" s="79" t="s">
        <v>104</v>
      </c>
      <c r="D89" s="43"/>
      <c r="E89" s="43"/>
      <c r="F89" s="43"/>
      <c r="G89" s="43"/>
      <c r="H89" s="43"/>
      <c r="I89" s="43">
        <v>16.228999999999999</v>
      </c>
      <c r="J89" s="43">
        <v>16.492999999999999</v>
      </c>
      <c r="K89" s="71">
        <v>15.215999999999999</v>
      </c>
      <c r="L89" s="71">
        <v>13.739000000000001</v>
      </c>
      <c r="M89" s="71">
        <v>12.91</v>
      </c>
      <c r="N89" s="71">
        <v>13.537000000000001</v>
      </c>
      <c r="O89" s="71">
        <v>23.504000000000001</v>
      </c>
      <c r="P89" s="71">
        <v>11.622</v>
      </c>
      <c r="Q89" s="71">
        <f t="shared" si="43"/>
        <v>11.73822</v>
      </c>
      <c r="R89" s="71">
        <f t="shared" si="43"/>
        <v>11.8556022</v>
      </c>
      <c r="S89" s="71">
        <f t="shared" si="43"/>
        <v>11.974158222</v>
      </c>
      <c r="T89" s="71">
        <v>11.974158222</v>
      </c>
      <c r="U89" s="72">
        <f t="shared" si="42"/>
        <v>12.213641386440001</v>
      </c>
    </row>
    <row r="90" spans="1:21" s="28" customFormat="1" ht="31.2" x14ac:dyDescent="0.25">
      <c r="A90" s="78" t="s">
        <v>56</v>
      </c>
      <c r="B90" s="32" t="s">
        <v>130</v>
      </c>
      <c r="C90" s="79" t="s">
        <v>104</v>
      </c>
      <c r="D90" s="43"/>
      <c r="E90" s="43"/>
      <c r="F90" s="43"/>
      <c r="G90" s="43"/>
      <c r="H90" s="43"/>
      <c r="I90" s="43">
        <f t="shared" ref="I90:U90" si="44">I66-I79</f>
        <v>2.9709999999999894</v>
      </c>
      <c r="J90" s="43">
        <f t="shared" si="44"/>
        <v>-0.85900000000000887</v>
      </c>
      <c r="K90" s="71">
        <f t="shared" si="44"/>
        <v>-2.953000000000003</v>
      </c>
      <c r="L90" s="71">
        <f t="shared" si="44"/>
        <v>0.47900000000001342</v>
      </c>
      <c r="M90" s="71">
        <f t="shared" si="44"/>
        <v>-0.55700000000001637</v>
      </c>
      <c r="N90" s="71">
        <f t="shared" si="44"/>
        <v>1.8460000000000036</v>
      </c>
      <c r="O90" s="120">
        <f t="shared" si="44"/>
        <v>-3.8269999999999982</v>
      </c>
      <c r="P90" s="120">
        <f t="shared" si="44"/>
        <v>0</v>
      </c>
      <c r="Q90" s="120">
        <f t="shared" si="44"/>
        <v>-9.9999999889632818E-6</v>
      </c>
      <c r="R90" s="120">
        <f t="shared" si="44"/>
        <v>-4.0010000000734181E-4</v>
      </c>
      <c r="S90" s="120">
        <f t="shared" si="44"/>
        <v>-3.2410100000390685E-4</v>
      </c>
      <c r="T90" s="120">
        <f t="shared" si="44"/>
        <v>-3.2410100000390685E-4</v>
      </c>
      <c r="U90" s="122">
        <f t="shared" si="44"/>
        <v>-3.3058302000199546E-4</v>
      </c>
    </row>
    <row r="91" spans="1:21" s="28" customFormat="1" ht="15.6" x14ac:dyDescent="0.25">
      <c r="A91" s="53" t="s">
        <v>131</v>
      </c>
      <c r="B91" s="65" t="s">
        <v>132</v>
      </c>
      <c r="C91" s="25"/>
      <c r="D91" s="85">
        <f>D92+D94+D96</f>
        <v>327617.5</v>
      </c>
      <c r="E91" s="86">
        <f>E92+E94+E96</f>
        <v>348144</v>
      </c>
      <c r="F91" s="85">
        <f>F92+F94+F96</f>
        <v>372600</v>
      </c>
      <c r="G91" s="85">
        <v>393892</v>
      </c>
      <c r="H91" s="85">
        <v>390630</v>
      </c>
      <c r="I91" s="85">
        <f t="shared" ref="I91:U91" si="45">I92+I94+I96</f>
        <v>394641</v>
      </c>
      <c r="J91" s="85">
        <f t="shared" si="45"/>
        <v>420736</v>
      </c>
      <c r="K91" s="87">
        <f t="shared" si="45"/>
        <v>432807</v>
      </c>
      <c r="L91" s="87">
        <f t="shared" si="45"/>
        <v>419915</v>
      </c>
      <c r="M91" s="87">
        <f t="shared" si="45"/>
        <v>424241</v>
      </c>
      <c r="N91" s="87">
        <f t="shared" si="45"/>
        <v>432474.36</v>
      </c>
      <c r="O91" s="87">
        <f t="shared" si="45"/>
        <v>460198.02999999997</v>
      </c>
      <c r="P91" s="85">
        <f t="shared" si="45"/>
        <v>500000.56270000001</v>
      </c>
      <c r="Q91" s="85">
        <f t="shared" si="45"/>
        <v>517981.60189999989</v>
      </c>
      <c r="R91" s="85">
        <f t="shared" si="45"/>
        <v>546264.43199919991</v>
      </c>
      <c r="S91" s="85">
        <f t="shared" si="45"/>
        <v>568829.04384389985</v>
      </c>
      <c r="T91" s="85">
        <f t="shared" si="45"/>
        <v>578094.97856435191</v>
      </c>
      <c r="U91" s="88">
        <f t="shared" si="45"/>
        <v>614561.85178339959</v>
      </c>
    </row>
    <row r="92" spans="1:21" s="28" customFormat="1" ht="62.4" x14ac:dyDescent="0.25">
      <c r="A92" s="23" t="s">
        <v>25</v>
      </c>
      <c r="B92" s="69" t="s">
        <v>133</v>
      </c>
      <c r="C92" s="25" t="s">
        <v>134</v>
      </c>
      <c r="D92" s="26">
        <f>302500*1.047</f>
        <v>316717.5</v>
      </c>
      <c r="E92" s="29">
        <v>334770.7</v>
      </c>
      <c r="F92" s="26">
        <v>357600</v>
      </c>
      <c r="G92" s="26">
        <f>F92*1.057</f>
        <v>377983.19999999995</v>
      </c>
      <c r="H92" s="26">
        <v>374764.79999999999</v>
      </c>
      <c r="I92" s="26">
        <v>377983</v>
      </c>
      <c r="J92" s="26">
        <v>402930</v>
      </c>
      <c r="K92" s="36">
        <v>415018</v>
      </c>
      <c r="L92" s="36">
        <v>402651</v>
      </c>
      <c r="M92" s="36">
        <v>406718</v>
      </c>
      <c r="N92" s="36">
        <f>M92*1.02/12*12</f>
        <v>414852.36</v>
      </c>
      <c r="O92" s="36">
        <f>M92*1.085</f>
        <v>441289.02999999997</v>
      </c>
      <c r="P92" s="26">
        <f>O92*109%</f>
        <v>481005.04269999999</v>
      </c>
      <c r="Q92" s="26">
        <f>O92*113%</f>
        <v>498656.60389999993</v>
      </c>
      <c r="R92" s="26">
        <f>P92*109.6%</f>
        <v>527181.52679919987</v>
      </c>
      <c r="S92" s="26">
        <f>Q92*110.1%</f>
        <v>549020.92089389986</v>
      </c>
      <c r="T92" s="26">
        <f>R92*106%</f>
        <v>558812.41840715194</v>
      </c>
      <c r="U92" s="27">
        <f>S92*108.2%</f>
        <v>594040.63640719966</v>
      </c>
    </row>
    <row r="93" spans="1:21" s="28" customFormat="1" ht="15.6" x14ac:dyDescent="0.25">
      <c r="A93" s="23" t="s">
        <v>49</v>
      </c>
      <c r="B93" s="69" t="s">
        <v>135</v>
      </c>
      <c r="C93" s="25" t="s">
        <v>136</v>
      </c>
      <c r="D93" s="26">
        <f>SUM(D92/302500)*100</f>
        <v>104.69999999999999</v>
      </c>
      <c r="E93" s="29">
        <f>SUM(E92/D92)*100</f>
        <v>105.70009551098376</v>
      </c>
      <c r="F93" s="29">
        <f>SUM(F92/E92)*100</f>
        <v>106.81938413367718</v>
      </c>
      <c r="G93" s="29">
        <f>SUM(G92/F92)*100</f>
        <v>105.69999999999999</v>
      </c>
      <c r="H93" s="29">
        <f>SUM(H92/G92)*100</f>
        <v>99.148533585619688</v>
      </c>
      <c r="I93" s="29">
        <f>SUM(I92/H92*100)</f>
        <v>100.85872525914921</v>
      </c>
      <c r="J93" s="29">
        <f>SUM(J92/I92*100)</f>
        <v>106.60003227658387</v>
      </c>
      <c r="K93" s="29">
        <f>K92/J92*100</f>
        <v>103.00002481820663</v>
      </c>
      <c r="L93" s="29">
        <f>L92/K92*100</f>
        <v>97.020129247406146</v>
      </c>
      <c r="M93" s="29">
        <f>M92/L92*100</f>
        <v>101.01005585482217</v>
      </c>
      <c r="N93" s="29">
        <f>N92/M92*100</f>
        <v>102</v>
      </c>
      <c r="O93" s="29">
        <f>O92/M92*100</f>
        <v>108.5</v>
      </c>
      <c r="P93" s="29">
        <f>P92/O92*100</f>
        <v>109.00000000000001</v>
      </c>
      <c r="Q93" s="29">
        <f>Q92/O92*100</f>
        <v>112.99999999999999</v>
      </c>
      <c r="R93" s="29">
        <f>R92/P92*100</f>
        <v>109.59999999999997</v>
      </c>
      <c r="S93" s="29">
        <f>S92/Q92*100</f>
        <v>110.1</v>
      </c>
      <c r="T93" s="29">
        <f>T92/R92*100</f>
        <v>106</v>
      </c>
      <c r="U93" s="47">
        <f>U92/S92*100</f>
        <v>108.2</v>
      </c>
    </row>
    <row r="94" spans="1:21" s="28" customFormat="1" ht="62.4" x14ac:dyDescent="0.25">
      <c r="A94" s="23" t="s">
        <v>56</v>
      </c>
      <c r="B94" s="69" t="s">
        <v>137</v>
      </c>
      <c r="C94" s="25" t="s">
        <v>134</v>
      </c>
      <c r="D94" s="26">
        <v>5300</v>
      </c>
      <c r="E94" s="29">
        <v>6133.3</v>
      </c>
      <c r="F94" s="26">
        <v>6800</v>
      </c>
      <c r="G94" s="26">
        <f>F94*1.048</f>
        <v>7126.4000000000005</v>
      </c>
      <c r="H94" s="26">
        <v>7099.2</v>
      </c>
      <c r="I94" s="26">
        <v>7454</v>
      </c>
      <c r="J94" s="26">
        <v>8050</v>
      </c>
      <c r="K94" s="26">
        <v>8131</v>
      </c>
      <c r="L94" s="26">
        <v>8050</v>
      </c>
      <c r="M94" s="26">
        <v>8171</v>
      </c>
      <c r="N94" s="26">
        <f>8212/12*12</f>
        <v>8212</v>
      </c>
      <c r="O94" s="26">
        <v>8652</v>
      </c>
      <c r="P94" s="26">
        <f>O94*101%</f>
        <v>8738.52</v>
      </c>
      <c r="Q94" s="26">
        <f>O94*102.2%</f>
        <v>8842.344000000001</v>
      </c>
      <c r="R94" s="26">
        <f>P94*101%</f>
        <v>8825.9052000000011</v>
      </c>
      <c r="S94" s="26">
        <f>Q94*102.5%</f>
        <v>9063.4025999999994</v>
      </c>
      <c r="T94" s="26">
        <f>R94*101.1%</f>
        <v>8922.9901571999999</v>
      </c>
      <c r="U94" s="27">
        <f>S94*103.6%</f>
        <v>9389.6850935999992</v>
      </c>
    </row>
    <row r="95" spans="1:21" s="28" customFormat="1" ht="15.6" x14ac:dyDescent="0.25">
      <c r="A95" s="23" t="s">
        <v>59</v>
      </c>
      <c r="B95" s="69" t="s">
        <v>135</v>
      </c>
      <c r="C95" s="25" t="s">
        <v>136</v>
      </c>
      <c r="D95" s="26">
        <f>D94/4100*100</f>
        <v>129.26829268292684</v>
      </c>
      <c r="E95" s="29">
        <f t="shared" ref="E95:Q95" si="46">E94/D94*100</f>
        <v>115.72264150943397</v>
      </c>
      <c r="F95" s="29">
        <f t="shared" si="46"/>
        <v>110.87016777265093</v>
      </c>
      <c r="G95" s="29">
        <f t="shared" si="46"/>
        <v>104.80000000000001</v>
      </c>
      <c r="H95" s="29">
        <f t="shared" si="46"/>
        <v>99.618320610687022</v>
      </c>
      <c r="I95" s="29">
        <f t="shared" si="46"/>
        <v>104.99774622492674</v>
      </c>
      <c r="J95" s="29">
        <f t="shared" si="46"/>
        <v>107.99570700295145</v>
      </c>
      <c r="K95" s="29">
        <f>K94/J94*100</f>
        <v>101.00621118012423</v>
      </c>
      <c r="L95" s="29">
        <f>L94/K94*100</f>
        <v>99.003812569179686</v>
      </c>
      <c r="M95" s="29">
        <f>M94/L94*100</f>
        <v>101.50310559006211</v>
      </c>
      <c r="N95" s="29">
        <f>N94/M94*100</f>
        <v>100.50177456859626</v>
      </c>
      <c r="O95" s="29">
        <f>O94/M94*100</f>
        <v>105.88667237792191</v>
      </c>
      <c r="P95" s="29">
        <f t="shared" si="46"/>
        <v>101</v>
      </c>
      <c r="Q95" s="29">
        <f t="shared" si="46"/>
        <v>101.1881188118812</v>
      </c>
      <c r="R95" s="29">
        <f>R94/P94*100</f>
        <v>101</v>
      </c>
      <c r="S95" s="29">
        <f>S94/Q94*100</f>
        <v>102.49999999999999</v>
      </c>
      <c r="T95" s="29">
        <f>T94/R94*100</f>
        <v>101.1</v>
      </c>
      <c r="U95" s="47">
        <f>U94/S94*100</f>
        <v>103.60000000000001</v>
      </c>
    </row>
    <row r="96" spans="1:21" s="28" customFormat="1" ht="62.4" x14ac:dyDescent="0.25">
      <c r="A96" s="23" t="s">
        <v>61</v>
      </c>
      <c r="B96" s="69" t="s">
        <v>138</v>
      </c>
      <c r="C96" s="25" t="s">
        <v>134</v>
      </c>
      <c r="D96" s="26">
        <v>5600</v>
      </c>
      <c r="E96" s="26">
        <v>7240</v>
      </c>
      <c r="F96" s="26">
        <v>8200</v>
      </c>
      <c r="G96" s="26">
        <f>F96*1.071</f>
        <v>8782.1999999999989</v>
      </c>
      <c r="H96" s="26">
        <v>8765.7999999999993</v>
      </c>
      <c r="I96" s="26">
        <v>9204</v>
      </c>
      <c r="J96" s="26">
        <v>9756</v>
      </c>
      <c r="K96" s="26">
        <v>9658</v>
      </c>
      <c r="L96" s="26">
        <v>9214</v>
      </c>
      <c r="M96" s="26">
        <v>9352</v>
      </c>
      <c r="N96" s="26">
        <f>9410/12*12</f>
        <v>9410</v>
      </c>
      <c r="O96" s="26">
        <v>10257</v>
      </c>
      <c r="P96" s="26">
        <f>O96*100%</f>
        <v>10257</v>
      </c>
      <c r="Q96" s="26">
        <f>O96*102.2%</f>
        <v>10482.654</v>
      </c>
      <c r="R96" s="26">
        <f>P96*100%</f>
        <v>10257</v>
      </c>
      <c r="S96" s="26">
        <f>Q96*102.5%</f>
        <v>10744.72035</v>
      </c>
      <c r="T96" s="26">
        <f>R96*101%</f>
        <v>10359.57</v>
      </c>
      <c r="U96" s="27">
        <f>S96*103.6%</f>
        <v>11131.530282600001</v>
      </c>
    </row>
    <row r="97" spans="1:21" s="28" customFormat="1" ht="16.2" thickBot="1" x14ac:dyDescent="0.3">
      <c r="A97" s="89" t="s">
        <v>63</v>
      </c>
      <c r="B97" s="90" t="s">
        <v>135</v>
      </c>
      <c r="C97" s="91" t="s">
        <v>136</v>
      </c>
      <c r="D97" s="92">
        <f>D96/5200*100</f>
        <v>107.69230769230769</v>
      </c>
      <c r="E97" s="93">
        <f>E96/D96*100</f>
        <v>129.28571428571431</v>
      </c>
      <c r="F97" s="93">
        <f>F96/E96*100</f>
        <v>113.25966850828731</v>
      </c>
      <c r="G97" s="93">
        <f>G96/F96*100</f>
        <v>107.1</v>
      </c>
      <c r="H97" s="93">
        <v>99.813258636788049</v>
      </c>
      <c r="I97" s="93">
        <f t="shared" ref="I97:Q97" si="47">I96/H96*100</f>
        <v>104.99897328252985</v>
      </c>
      <c r="J97" s="93">
        <f t="shared" si="47"/>
        <v>105.99739243807041</v>
      </c>
      <c r="K97" s="93">
        <f t="shared" si="47"/>
        <v>98.995489954899554</v>
      </c>
      <c r="L97" s="93">
        <f t="shared" si="47"/>
        <v>95.402774901635951</v>
      </c>
      <c r="M97" s="93">
        <f>M96/L96*100</f>
        <v>101.49772085956155</v>
      </c>
      <c r="N97" s="93">
        <f>N96/M96*100</f>
        <v>100.62018819503848</v>
      </c>
      <c r="O97" s="93">
        <f>O96/M96*100</f>
        <v>109.67707442258342</v>
      </c>
      <c r="P97" s="93">
        <f t="shared" si="47"/>
        <v>100</v>
      </c>
      <c r="Q97" s="93">
        <f t="shared" si="47"/>
        <v>102.2</v>
      </c>
      <c r="R97" s="93">
        <f>R96/P96*100</f>
        <v>100</v>
      </c>
      <c r="S97" s="93">
        <f>S96/Q96*100</f>
        <v>102.49999999999999</v>
      </c>
      <c r="T97" s="93">
        <f>T96/R96*100</f>
        <v>101</v>
      </c>
      <c r="U97" s="94">
        <f>U96/S96*100</f>
        <v>103.60000000000001</v>
      </c>
    </row>
    <row r="98" spans="1:21" s="2" customFormat="1" x14ac:dyDescent="0.25">
      <c r="A98" s="95"/>
      <c r="B98" s="96"/>
      <c r="C98" s="96"/>
      <c r="D98" s="97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4"/>
      <c r="Q98" s="4"/>
    </row>
    <row r="99" spans="1:21" s="2" customFormat="1" x14ac:dyDescent="0.25">
      <c r="A99" s="1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21" s="2" customFormat="1" x14ac:dyDescent="0.25">
      <c r="A100" s="1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21" s="2" customFormat="1" ht="19.5" customHeight="1" x14ac:dyDescent="0.25">
      <c r="A101" s="125" t="s">
        <v>139</v>
      </c>
      <c r="B101" s="125"/>
      <c r="C101" s="125"/>
      <c r="D101" s="125"/>
      <c r="E101" s="125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4"/>
      <c r="Q101" s="4"/>
    </row>
    <row r="102" spans="1:21" s="2" customFormat="1" x14ac:dyDescent="0.25">
      <c r="A102" s="1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</sheetData>
  <mergeCells count="25">
    <mergeCell ref="E9:E10"/>
    <mergeCell ref="F9:F10"/>
    <mergeCell ref="M9:M10"/>
    <mergeCell ref="A7:U7"/>
    <mergeCell ref="P1:U1"/>
    <mergeCell ref="P2:U2"/>
    <mergeCell ref="P3:U3"/>
    <mergeCell ref="A5:U5"/>
    <mergeCell ref="A6:U6"/>
    <mergeCell ref="O9:O10"/>
    <mergeCell ref="P9:Q9"/>
    <mergeCell ref="R9:S9"/>
    <mergeCell ref="T9:U9"/>
    <mergeCell ref="A101:E101"/>
    <mergeCell ref="N9:N10"/>
    <mergeCell ref="G9:G10"/>
    <mergeCell ref="H9:H10"/>
    <mergeCell ref="I9:I10"/>
    <mergeCell ref="J9:J10"/>
    <mergeCell ref="K9:K10"/>
    <mergeCell ref="L9:L10"/>
    <mergeCell ref="A9:A10"/>
    <mergeCell ref="B9:B10"/>
    <mergeCell ref="C9:C10"/>
    <mergeCell ref="D9:D10"/>
  </mergeCells>
  <printOptions horizontalCentered="1"/>
  <pageMargins left="0" right="0" top="0.39370078740157483" bottom="0.19685039370078741" header="0.19685039370078741" footer="0"/>
  <pageSetup paperSize="9" scale="61" fitToHeight="2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102"/>
  <sheetViews>
    <sheetView zoomScale="75" workbookViewId="0">
      <pane ySplit="12" topLeftCell="A13" activePane="bottomLeft" state="frozen"/>
      <selection pane="bottomLeft" activeCell="W8" sqref="W8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6640625" style="2" hidden="1" customWidth="1" outlineLevel="1"/>
    <col min="5" max="6" width="11.6640625" style="6" hidden="1" customWidth="1" outlineLevel="1"/>
    <col min="7" max="11" width="11.33203125" style="2" hidden="1" customWidth="1" outlineLevel="1"/>
    <col min="12" max="12" width="11.33203125" style="2" customWidth="1" collapsed="1"/>
    <col min="13" max="14" width="11.33203125" style="2" customWidth="1"/>
    <col min="15" max="20" width="13" style="2" customWidth="1"/>
  </cols>
  <sheetData>
    <row r="1" spans="1:23" ht="18.75" customHeight="1" x14ac:dyDescent="0.3">
      <c r="D1" s="3"/>
      <c r="E1" s="4"/>
      <c r="F1" s="4"/>
      <c r="O1" s="136" t="s">
        <v>0</v>
      </c>
      <c r="P1" s="136"/>
      <c r="Q1" s="136"/>
      <c r="R1" s="136"/>
    </row>
    <row r="2" spans="1:23" ht="18.75" customHeight="1" x14ac:dyDescent="0.3">
      <c r="D2" s="3"/>
      <c r="E2" s="4"/>
      <c r="F2" s="4"/>
      <c r="O2" s="137" t="s">
        <v>1</v>
      </c>
      <c r="P2" s="137"/>
      <c r="Q2" s="137"/>
      <c r="R2" s="137"/>
    </row>
    <row r="3" spans="1:23" s="9" customFormat="1" ht="18.75" customHeight="1" x14ac:dyDescent="0.3">
      <c r="A3" s="5"/>
      <c r="B3" s="6"/>
      <c r="C3" s="6"/>
      <c r="D3" s="4"/>
      <c r="E3" s="4"/>
      <c r="F3" s="4"/>
      <c r="G3" s="7"/>
      <c r="H3" s="7"/>
      <c r="I3" s="7"/>
      <c r="J3" s="7"/>
      <c r="K3" s="7"/>
      <c r="L3" s="7"/>
      <c r="M3" s="7"/>
      <c r="N3" s="7"/>
      <c r="O3" s="137" t="s">
        <v>142</v>
      </c>
      <c r="P3" s="137"/>
      <c r="Q3" s="137"/>
      <c r="R3" s="137"/>
      <c r="S3" s="8"/>
      <c r="T3" s="8"/>
    </row>
    <row r="4" spans="1:23" s="9" customFormat="1" ht="18.75" customHeight="1" x14ac:dyDescent="0.25">
      <c r="A4" s="5"/>
      <c r="B4" s="6"/>
      <c r="C4" s="6"/>
      <c r="D4" s="4"/>
      <c r="E4" s="4"/>
      <c r="F4" s="4"/>
      <c r="G4" s="7"/>
      <c r="H4" s="7"/>
      <c r="I4" s="7"/>
      <c r="J4" s="7"/>
      <c r="K4" s="7"/>
      <c r="L4" s="7"/>
      <c r="M4" s="7"/>
      <c r="N4" s="7"/>
      <c r="O4" s="7"/>
      <c r="P4" s="8"/>
      <c r="Q4" s="8"/>
      <c r="R4" s="8"/>
      <c r="S4" s="8"/>
      <c r="T4" s="8"/>
    </row>
    <row r="5" spans="1:23" s="9" customFormat="1" ht="18.75" customHeight="1" x14ac:dyDescent="0.25">
      <c r="A5" s="138" t="s">
        <v>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</row>
    <row r="6" spans="1:23" s="9" customFormat="1" ht="18.75" customHeight="1" x14ac:dyDescent="0.25">
      <c r="A6" s="138" t="s">
        <v>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</row>
    <row r="7" spans="1:23" s="9" customFormat="1" ht="18.75" customHeight="1" x14ac:dyDescent="0.25">
      <c r="A7" s="138" t="s">
        <v>141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</row>
    <row r="8" spans="1:23" s="9" customFormat="1" ht="26.25" customHeight="1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3" s="9" customFormat="1" ht="26.25" customHeight="1" x14ac:dyDescent="0.25">
      <c r="A9" s="128" t="s">
        <v>5</v>
      </c>
      <c r="B9" s="130" t="s">
        <v>6</v>
      </c>
      <c r="C9" s="132" t="s">
        <v>7</v>
      </c>
      <c r="D9" s="130" t="s">
        <v>8</v>
      </c>
      <c r="E9" s="130" t="s">
        <v>9</v>
      </c>
      <c r="F9" s="126" t="s">
        <v>10</v>
      </c>
      <c r="G9" s="126" t="s">
        <v>11</v>
      </c>
      <c r="H9" s="126" t="s">
        <v>12</v>
      </c>
      <c r="I9" s="126" t="s">
        <v>13</v>
      </c>
      <c r="J9" s="126" t="s">
        <v>14</v>
      </c>
      <c r="K9" s="126" t="s">
        <v>15</v>
      </c>
      <c r="L9" s="126" t="s">
        <v>16</v>
      </c>
      <c r="M9" s="126" t="s">
        <v>143</v>
      </c>
      <c r="N9" s="126" t="s">
        <v>144</v>
      </c>
      <c r="O9" s="139" t="s">
        <v>145</v>
      </c>
      <c r="P9" s="140"/>
      <c r="Q9" s="139" t="s">
        <v>20</v>
      </c>
      <c r="R9" s="140"/>
      <c r="S9" s="139" t="s">
        <v>148</v>
      </c>
      <c r="T9" s="141"/>
    </row>
    <row r="10" spans="1:23" s="14" customFormat="1" ht="45.6" thickBot="1" x14ac:dyDescent="0.3">
      <c r="A10" s="129"/>
      <c r="B10" s="131"/>
      <c r="C10" s="133"/>
      <c r="D10" s="134"/>
      <c r="E10" s="134"/>
      <c r="F10" s="135"/>
      <c r="G10" s="127"/>
      <c r="H10" s="127"/>
      <c r="I10" s="127"/>
      <c r="J10" s="127"/>
      <c r="K10" s="127"/>
      <c r="L10" s="127"/>
      <c r="M10" s="127"/>
      <c r="N10" s="127"/>
      <c r="O10" s="100" t="s">
        <v>147</v>
      </c>
      <c r="P10" s="100" t="s">
        <v>146</v>
      </c>
      <c r="Q10" s="100" t="s">
        <v>147</v>
      </c>
      <c r="R10" s="100" t="s">
        <v>146</v>
      </c>
      <c r="S10" s="100" t="s">
        <v>147</v>
      </c>
      <c r="T10" s="13" t="s">
        <v>146</v>
      </c>
      <c r="W10" s="14">
        <v>23</v>
      </c>
    </row>
    <row r="11" spans="1:23" s="14" customFormat="1" ht="15.6" x14ac:dyDescent="0.25">
      <c r="A11" s="15" t="s">
        <v>23</v>
      </c>
      <c r="B11" s="16" t="s">
        <v>24</v>
      </c>
      <c r="C11" s="17"/>
      <c r="D11" s="18"/>
      <c r="E11" s="18"/>
      <c r="F11" s="18"/>
      <c r="G11" s="19"/>
      <c r="H11" s="19"/>
      <c r="I11" s="19"/>
      <c r="J11" s="19"/>
      <c r="K11" s="19"/>
      <c r="L11" s="19"/>
      <c r="M11" s="19"/>
      <c r="N11" s="20"/>
      <c r="O11" s="20"/>
      <c r="P11" s="21"/>
      <c r="Q11" s="20"/>
      <c r="R11" s="21"/>
      <c r="S11" s="20"/>
      <c r="T11" s="22"/>
    </row>
    <row r="12" spans="1:23" s="28" customFormat="1" ht="35.25" customHeight="1" x14ac:dyDescent="0.25">
      <c r="A12" s="23" t="s">
        <v>25</v>
      </c>
      <c r="B12" s="24" t="s">
        <v>26</v>
      </c>
      <c r="C12" s="25" t="s">
        <v>27</v>
      </c>
      <c r="D12" s="26">
        <f>D14+D18+D19+D20+D21+D25</f>
        <v>982104.66</v>
      </c>
      <c r="E12" s="26">
        <v>1179481</v>
      </c>
      <c r="F12" s="26">
        <f>806483/9*12</f>
        <v>1075310.6666666665</v>
      </c>
      <c r="G12" s="26">
        <v>2954984</v>
      </c>
      <c r="H12" s="26">
        <v>3035894</v>
      </c>
      <c r="I12" s="26">
        <f>I13+I14+I19+I20+I21+I22+I25</f>
        <v>2354602</v>
      </c>
      <c r="J12" s="26">
        <f>J13+J14+J18+J19+J20+J21+J22+J25+J23+J24</f>
        <v>3844002.8</v>
      </c>
      <c r="K12" s="26">
        <f>K13+K14+K18+K19+K20+K21+K22+K25+K23+K24</f>
        <v>3234982.96</v>
      </c>
      <c r="L12" s="26">
        <f>L13+L14+L18+L19+L20+L21+L22+L25+L23+L24</f>
        <v>3676447.4449999998</v>
      </c>
      <c r="M12" s="26">
        <v>3077000</v>
      </c>
      <c r="N12" s="26">
        <f>N13+N14+N18+N19+N20+N21+N22+N25+N23+N24</f>
        <v>3052122</v>
      </c>
      <c r="O12" s="26">
        <f>O13+O14+O18+O19+O20+O21+O22+O25+O23+O24</f>
        <v>3264969.5744000003</v>
      </c>
      <c r="P12" s="26">
        <f t="shared" ref="P12:T12" si="0">P13+P14+P18+P19+P20+P21+P22+P25+P23+P24</f>
        <v>3234549.3080000002</v>
      </c>
      <c r="Q12" s="26">
        <f t="shared" si="0"/>
        <v>3316787.4770327993</v>
      </c>
      <c r="R12" s="26">
        <f t="shared" si="0"/>
        <v>3342414.1139920009</v>
      </c>
      <c r="S12" s="26">
        <f t="shared" si="0"/>
        <v>3382995.8687672135</v>
      </c>
      <c r="T12" s="27">
        <f t="shared" si="0"/>
        <v>3416527.4659988964</v>
      </c>
    </row>
    <row r="13" spans="1:23" s="28" customFormat="1" ht="15.6" x14ac:dyDescent="0.25">
      <c r="A13" s="23" t="s">
        <v>28</v>
      </c>
      <c r="B13" s="24" t="s">
        <v>29</v>
      </c>
      <c r="C13" s="25" t="s">
        <v>27</v>
      </c>
      <c r="D13" s="26">
        <v>1714082</v>
      </c>
      <c r="E13" s="29">
        <v>1714928.8</v>
      </c>
      <c r="F13" s="29"/>
      <c r="G13" s="26">
        <f>E13*0.98</f>
        <v>1680630.2239999999</v>
      </c>
      <c r="H13" s="26">
        <v>1769703.6258719999</v>
      </c>
      <c r="I13" s="26">
        <v>1185192</v>
      </c>
      <c r="J13" s="26">
        <v>1782799</v>
      </c>
      <c r="K13" s="26">
        <f>I13*1.005</f>
        <v>1191117.96</v>
      </c>
      <c r="L13" s="26">
        <f>J13*1.005</f>
        <v>1791712.9949999999</v>
      </c>
      <c r="M13" s="26">
        <v>1179200</v>
      </c>
      <c r="N13" s="26">
        <f>M13*100.5/100</f>
        <v>1185096</v>
      </c>
      <c r="O13" s="26">
        <f>N13*103.89%</f>
        <v>1231196.2344</v>
      </c>
      <c r="P13" s="26">
        <f>N13*104.3%</f>
        <v>1236055.128</v>
      </c>
      <c r="Q13" s="26">
        <f>O13*103.7%</f>
        <v>1276750.4950728</v>
      </c>
      <c r="R13" s="26">
        <f>P13*104.4%</f>
        <v>1290441.553632</v>
      </c>
      <c r="S13" s="26">
        <f>Q13*103.7%</f>
        <v>1323990.2633904936</v>
      </c>
      <c r="T13" s="27">
        <f>R13*104.3%</f>
        <v>1345930.5404381759</v>
      </c>
    </row>
    <row r="14" spans="1:23" s="28" customFormat="1" ht="46.8" x14ac:dyDescent="0.25">
      <c r="A14" s="23" t="s">
        <v>30</v>
      </c>
      <c r="B14" s="30" t="s">
        <v>31</v>
      </c>
      <c r="C14" s="25" t="s">
        <v>27</v>
      </c>
      <c r="D14" s="26">
        <f>D15+D16+D17</f>
        <v>83928</v>
      </c>
      <c r="E14" s="26">
        <f>E15+E16+E17</f>
        <v>91759</v>
      </c>
      <c r="F14" s="26">
        <f>F15+F16+F17</f>
        <v>80271.7</v>
      </c>
      <c r="G14" s="26">
        <f>F14*0.98</f>
        <v>78666.265999999989</v>
      </c>
      <c r="H14" s="26">
        <v>82835.578097999984</v>
      </c>
      <c r="I14" s="26">
        <v>87800</v>
      </c>
      <c r="J14" s="26">
        <v>106747</v>
      </c>
      <c r="K14" s="26">
        <f>K15+K16+K17</f>
        <v>107886</v>
      </c>
      <c r="L14" s="26">
        <f>L15+L16+L17</f>
        <v>108442</v>
      </c>
      <c r="M14" s="26">
        <f>M15+M16+M17</f>
        <v>110612</v>
      </c>
      <c r="N14" s="26">
        <f>N15+N16+N17</f>
        <v>111718</v>
      </c>
      <c r="O14" s="26">
        <f>O15+O16+O17</f>
        <v>112835.18000000001</v>
      </c>
      <c r="P14" s="26">
        <f t="shared" ref="P14:T14" si="1">P15+P16+P17</f>
        <v>112835.18000000001</v>
      </c>
      <c r="Q14" s="26">
        <f t="shared" si="1"/>
        <v>113060.85036000001</v>
      </c>
      <c r="R14" s="26">
        <f t="shared" si="1"/>
        <v>113060.85036000001</v>
      </c>
      <c r="S14" s="26">
        <f t="shared" si="1"/>
        <v>113286.97206072001</v>
      </c>
      <c r="T14" s="27">
        <f t="shared" si="1"/>
        <v>113286.97206072001</v>
      </c>
    </row>
    <row r="15" spans="1:23" s="28" customFormat="1" ht="15.6" x14ac:dyDescent="0.25">
      <c r="A15" s="31"/>
      <c r="B15" s="32" t="s">
        <v>32</v>
      </c>
      <c r="C15" s="25" t="s">
        <v>27</v>
      </c>
      <c r="D15" s="33">
        <v>58626</v>
      </c>
      <c r="E15" s="33">
        <v>66960</v>
      </c>
      <c r="F15" s="33">
        <v>54204</v>
      </c>
      <c r="G15" s="26">
        <f>F15*1.1</f>
        <v>59624.4</v>
      </c>
      <c r="H15" s="26">
        <v>62784.493199999997</v>
      </c>
      <c r="I15" s="26">
        <v>58000</v>
      </c>
      <c r="J15" s="26">
        <v>72054.7</v>
      </c>
      <c r="K15" s="26">
        <v>73486</v>
      </c>
      <c r="L15" s="26">
        <v>74049</v>
      </c>
      <c r="M15" s="26">
        <v>75530</v>
      </c>
      <c r="N15" s="26">
        <v>76285</v>
      </c>
      <c r="O15" s="26">
        <f>N15*101%</f>
        <v>77047.850000000006</v>
      </c>
      <c r="P15" s="26">
        <f>N15*101%</f>
        <v>77047.850000000006</v>
      </c>
      <c r="Q15" s="26">
        <f t="shared" ref="Q15:T17" si="2">O15*100.2%</f>
        <v>77201.945700000011</v>
      </c>
      <c r="R15" s="26">
        <f t="shared" si="2"/>
        <v>77201.945700000011</v>
      </c>
      <c r="S15" s="26">
        <f t="shared" si="2"/>
        <v>77356.349591400009</v>
      </c>
      <c r="T15" s="27">
        <f t="shared" si="2"/>
        <v>77356.349591400009</v>
      </c>
    </row>
    <row r="16" spans="1:23" s="28" customFormat="1" ht="15.6" x14ac:dyDescent="0.25">
      <c r="A16" s="31"/>
      <c r="B16" s="32" t="s">
        <v>33</v>
      </c>
      <c r="C16" s="25" t="s">
        <v>27</v>
      </c>
      <c r="D16" s="33">
        <v>13797</v>
      </c>
      <c r="E16" s="33">
        <v>13523</v>
      </c>
      <c r="F16" s="33">
        <v>13058.7</v>
      </c>
      <c r="G16" s="26">
        <f>F16*1.07</f>
        <v>13972.809000000001</v>
      </c>
      <c r="H16" s="26">
        <v>14713.367877000001</v>
      </c>
      <c r="I16" s="26">
        <v>14950</v>
      </c>
      <c r="J16" s="26">
        <f>355.1*72.22</f>
        <v>25645.322</v>
      </c>
      <c r="K16" s="26">
        <v>25700</v>
      </c>
      <c r="L16" s="26">
        <v>25563</v>
      </c>
      <c r="M16" s="26">
        <v>26075</v>
      </c>
      <c r="N16" s="26">
        <v>26336</v>
      </c>
      <c r="O16" s="26">
        <f>N16*101%</f>
        <v>26599.360000000001</v>
      </c>
      <c r="P16" s="26">
        <f>N16*101%</f>
        <v>26599.360000000001</v>
      </c>
      <c r="Q16" s="26">
        <f t="shared" si="2"/>
        <v>26652.558720000001</v>
      </c>
      <c r="R16" s="26">
        <f t="shared" si="2"/>
        <v>26652.558720000001</v>
      </c>
      <c r="S16" s="26">
        <f t="shared" si="2"/>
        <v>26705.86383744</v>
      </c>
      <c r="T16" s="27">
        <f t="shared" si="2"/>
        <v>26705.86383744</v>
      </c>
    </row>
    <row r="17" spans="1:20" s="28" customFormat="1" ht="15.6" x14ac:dyDescent="0.25">
      <c r="A17" s="31"/>
      <c r="B17" s="32" t="s">
        <v>34</v>
      </c>
      <c r="C17" s="25" t="s">
        <v>27</v>
      </c>
      <c r="D17" s="33">
        <v>11505</v>
      </c>
      <c r="E17" s="33">
        <v>11276</v>
      </c>
      <c r="F17" s="33">
        <v>13009</v>
      </c>
      <c r="G17" s="26">
        <f>F17*1.07</f>
        <v>13919.630000000001</v>
      </c>
      <c r="H17" s="26">
        <v>14657.37039</v>
      </c>
      <c r="I17" s="26">
        <v>14850</v>
      </c>
      <c r="J17" s="26">
        <f>53.2*161.64</f>
        <v>8599.2479999999996</v>
      </c>
      <c r="K17" s="26">
        <v>8700</v>
      </c>
      <c r="L17" s="26">
        <v>8830</v>
      </c>
      <c r="M17" s="26">
        <v>9007</v>
      </c>
      <c r="N17" s="26">
        <v>9097</v>
      </c>
      <c r="O17" s="26">
        <f>N17*101%</f>
        <v>9187.9699999999993</v>
      </c>
      <c r="P17" s="26">
        <f>N17*101%</f>
        <v>9187.9699999999993</v>
      </c>
      <c r="Q17" s="26">
        <f t="shared" si="2"/>
        <v>9206.3459399999992</v>
      </c>
      <c r="R17" s="26">
        <f t="shared" si="2"/>
        <v>9206.3459399999992</v>
      </c>
      <c r="S17" s="26">
        <f t="shared" si="2"/>
        <v>9224.7586318799986</v>
      </c>
      <c r="T17" s="27">
        <f t="shared" si="2"/>
        <v>9224.7586318799986</v>
      </c>
    </row>
    <row r="18" spans="1:20" s="28" customFormat="1" ht="15.6" x14ac:dyDescent="0.25">
      <c r="A18" s="23" t="s">
        <v>35</v>
      </c>
      <c r="B18" s="30" t="s">
        <v>36</v>
      </c>
      <c r="C18" s="25" t="s">
        <v>27</v>
      </c>
      <c r="D18" s="34">
        <v>6188.52</v>
      </c>
      <c r="E18" s="34">
        <v>7680</v>
      </c>
      <c r="F18" s="34">
        <v>7680</v>
      </c>
      <c r="G18" s="26">
        <v>8432.6</v>
      </c>
      <c r="H18" s="26">
        <v>7646.2080000000005</v>
      </c>
      <c r="I18" s="36">
        <v>7890</v>
      </c>
      <c r="J18" s="36">
        <f>J29*38</f>
        <v>4715.8</v>
      </c>
      <c r="K18" s="36">
        <v>5600</v>
      </c>
      <c r="L18" s="36">
        <v>4904.45</v>
      </c>
      <c r="M18" s="36">
        <v>0</v>
      </c>
      <c r="N18" s="36">
        <v>0</v>
      </c>
      <c r="O18" s="36">
        <f>N18*101%</f>
        <v>0</v>
      </c>
      <c r="P18" s="36">
        <f>N18*100%</f>
        <v>0</v>
      </c>
      <c r="Q18" s="36">
        <f>O18*100.3%</f>
        <v>0</v>
      </c>
      <c r="R18" s="36">
        <f>P18*100.1%</f>
        <v>0</v>
      </c>
      <c r="S18" s="36">
        <f>Q18*100.2%</f>
        <v>0</v>
      </c>
      <c r="T18" s="37">
        <f>R18*100.1%</f>
        <v>0</v>
      </c>
    </row>
    <row r="19" spans="1:20" s="28" customFormat="1" ht="15.6" x14ac:dyDescent="0.25">
      <c r="A19" s="38" t="s">
        <v>37</v>
      </c>
      <c r="B19" s="30" t="s">
        <v>38</v>
      </c>
      <c r="C19" s="25" t="s">
        <v>27</v>
      </c>
      <c r="D19" s="33">
        <v>852084</v>
      </c>
      <c r="E19" s="33">
        <v>835041</v>
      </c>
      <c r="F19" s="33">
        <v>891415</v>
      </c>
      <c r="G19" s="26">
        <v>893112</v>
      </c>
      <c r="H19" s="26">
        <v>971815.80599999998</v>
      </c>
      <c r="I19" s="36">
        <v>988960</v>
      </c>
      <c r="J19" s="36">
        <v>1695233</v>
      </c>
      <c r="K19" s="26">
        <v>1783325</v>
      </c>
      <c r="L19" s="26">
        <v>1628714</v>
      </c>
      <c r="M19" s="26">
        <v>1640660</v>
      </c>
      <c r="N19" s="26">
        <v>1640700</v>
      </c>
      <c r="O19" s="36">
        <f>N19*110%</f>
        <v>1804770.0000000002</v>
      </c>
      <c r="P19" s="26">
        <f>N19*108%</f>
        <v>1771956.0000000002</v>
      </c>
      <c r="Q19" s="26">
        <f>O19*100.3%</f>
        <v>1810184.31</v>
      </c>
      <c r="R19" s="26">
        <f>P19*103%</f>
        <v>1825114.6800000004</v>
      </c>
      <c r="S19" s="26">
        <f t="shared" ref="S19:T21" si="3">Q19*101%</f>
        <v>1828286.1531</v>
      </c>
      <c r="T19" s="27">
        <f t="shared" si="3"/>
        <v>1843365.8268000004</v>
      </c>
    </row>
    <row r="20" spans="1:20" s="28" customFormat="1" ht="15.6" x14ac:dyDescent="0.25">
      <c r="A20" s="38" t="s">
        <v>39</v>
      </c>
      <c r="B20" s="32" t="s">
        <v>40</v>
      </c>
      <c r="C20" s="25" t="s">
        <v>27</v>
      </c>
      <c r="D20" s="33">
        <v>7958</v>
      </c>
      <c r="E20" s="33">
        <v>64624</v>
      </c>
      <c r="F20" s="33">
        <v>64624</v>
      </c>
      <c r="G20" s="26">
        <v>65916.5</v>
      </c>
      <c r="H20" s="26">
        <v>66018.887999999992</v>
      </c>
      <c r="I20" s="36">
        <v>61400</v>
      </c>
      <c r="J20" s="36">
        <v>66523</v>
      </c>
      <c r="K20" s="26">
        <v>67854</v>
      </c>
      <c r="L20" s="26">
        <v>67855</v>
      </c>
      <c r="M20" s="26">
        <v>70050</v>
      </c>
      <c r="N20" s="26">
        <v>70050</v>
      </c>
      <c r="O20" s="36">
        <f>N20*102%</f>
        <v>71451</v>
      </c>
      <c r="P20" s="26">
        <f>N20*1</f>
        <v>70050</v>
      </c>
      <c r="Q20" s="26">
        <f>O20*101%</f>
        <v>72165.509999999995</v>
      </c>
      <c r="R20" s="26">
        <f>P20*101%</f>
        <v>70750.5</v>
      </c>
      <c r="S20" s="26">
        <f t="shared" si="3"/>
        <v>72887.165099999998</v>
      </c>
      <c r="T20" s="27">
        <f t="shared" si="3"/>
        <v>71458.005000000005</v>
      </c>
    </row>
    <row r="21" spans="1:20" s="28" customFormat="1" ht="15.6" x14ac:dyDescent="0.25">
      <c r="A21" s="38" t="s">
        <v>41</v>
      </c>
      <c r="B21" s="32" t="s">
        <v>42</v>
      </c>
      <c r="C21" s="25" t="s">
        <v>27</v>
      </c>
      <c r="D21" s="33">
        <v>31911.84</v>
      </c>
      <c r="E21" s="33">
        <v>31275</v>
      </c>
      <c r="F21" s="33">
        <v>31275</v>
      </c>
      <c r="G21" s="26">
        <v>34371.199999999997</v>
      </c>
      <c r="H21" s="26">
        <v>32273.923499999997</v>
      </c>
      <c r="I21" s="36">
        <v>31250</v>
      </c>
      <c r="J21" s="36">
        <v>29105</v>
      </c>
      <c r="K21" s="26">
        <v>29000</v>
      </c>
      <c r="L21" s="26">
        <v>26519</v>
      </c>
      <c r="M21" s="26">
        <v>26254</v>
      </c>
      <c r="N21" s="26">
        <v>26258</v>
      </c>
      <c r="O21" s="36">
        <f>N21*102%</f>
        <v>26783.16</v>
      </c>
      <c r="P21" s="26">
        <f>N21*1</f>
        <v>26258</v>
      </c>
      <c r="Q21" s="26">
        <f>O21*101%</f>
        <v>27050.991600000001</v>
      </c>
      <c r="R21" s="26">
        <f>P21*101%</f>
        <v>26520.58</v>
      </c>
      <c r="S21" s="26">
        <f t="shared" si="3"/>
        <v>27321.501516</v>
      </c>
      <c r="T21" s="27">
        <f t="shared" si="3"/>
        <v>26785.785800000001</v>
      </c>
    </row>
    <row r="22" spans="1:20" s="28" customFormat="1" ht="15.6" hidden="1" outlineLevel="1" x14ac:dyDescent="0.25">
      <c r="A22" s="38" t="s">
        <v>43</v>
      </c>
      <c r="B22" s="32" t="s">
        <v>44</v>
      </c>
      <c r="C22" s="25" t="s">
        <v>27</v>
      </c>
      <c r="D22" s="33"/>
      <c r="E22" s="33">
        <v>149067</v>
      </c>
      <c r="F22" s="33">
        <v>149100</v>
      </c>
      <c r="G22" s="26">
        <f>F22*1.3</f>
        <v>193830</v>
      </c>
      <c r="H22" s="26">
        <v>105600</v>
      </c>
      <c r="I22" s="26">
        <v>0</v>
      </c>
      <c r="J22" s="26">
        <v>0</v>
      </c>
      <c r="K22" s="26">
        <v>0</v>
      </c>
      <c r="L22" s="26"/>
      <c r="M22" s="26"/>
      <c r="N22" s="26">
        <v>0</v>
      </c>
      <c r="O22" s="26">
        <v>0</v>
      </c>
      <c r="P22" s="26">
        <v>0</v>
      </c>
      <c r="Q22" s="26">
        <f t="shared" ref="Q22:Q33" si="4">O22*1.015</f>
        <v>0</v>
      </c>
      <c r="R22" s="26">
        <f t="shared" ref="R22" si="5">P22*1.02</f>
        <v>0</v>
      </c>
      <c r="S22" s="26">
        <f t="shared" ref="S22:T25" si="6">Q22*1.017</f>
        <v>0</v>
      </c>
      <c r="T22" s="27">
        <f t="shared" si="6"/>
        <v>0</v>
      </c>
    </row>
    <row r="23" spans="1:20" s="28" customFormat="1" ht="15.6" hidden="1" outlineLevel="1" x14ac:dyDescent="0.25">
      <c r="A23" s="38" t="s">
        <v>43</v>
      </c>
      <c r="B23" s="32" t="s">
        <v>45</v>
      </c>
      <c r="C23" s="25" t="s">
        <v>27</v>
      </c>
      <c r="D23" s="33"/>
      <c r="E23" s="33"/>
      <c r="F23" s="33"/>
      <c r="G23" s="26"/>
      <c r="H23" s="26"/>
      <c r="I23" s="26"/>
      <c r="J23" s="26">
        <v>56936</v>
      </c>
      <c r="K23" s="26">
        <v>0</v>
      </c>
      <c r="L23" s="26">
        <v>0</v>
      </c>
      <c r="M23" s="26"/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7">
        <f t="shared" si="6"/>
        <v>0</v>
      </c>
    </row>
    <row r="24" spans="1:20" s="28" customFormat="1" ht="15.6" collapsed="1" x14ac:dyDescent="0.25">
      <c r="A24" s="38" t="s">
        <v>43</v>
      </c>
      <c r="B24" s="32" t="s">
        <v>46</v>
      </c>
      <c r="C24" s="25" t="s">
        <v>27</v>
      </c>
      <c r="D24" s="33"/>
      <c r="E24" s="33"/>
      <c r="F24" s="33"/>
      <c r="G24" s="26"/>
      <c r="H24" s="26"/>
      <c r="I24" s="26"/>
      <c r="J24" s="26">
        <v>101934</v>
      </c>
      <c r="K24" s="26">
        <v>50200</v>
      </c>
      <c r="L24" s="26">
        <v>48300</v>
      </c>
      <c r="M24" s="26">
        <v>20130</v>
      </c>
      <c r="N24" s="26">
        <v>18300</v>
      </c>
      <c r="O24" s="26">
        <f>N24*98%</f>
        <v>17934</v>
      </c>
      <c r="P24" s="26">
        <f>N24*0.95</f>
        <v>17385</v>
      </c>
      <c r="Q24" s="26">
        <f>O24*98%</f>
        <v>17575.32</v>
      </c>
      <c r="R24" s="26">
        <f>P24*95%</f>
        <v>16515.75</v>
      </c>
      <c r="S24" s="26">
        <f>Q24*98%</f>
        <v>17223.813599999998</v>
      </c>
      <c r="T24" s="27">
        <f>R24*95%</f>
        <v>15689.9625</v>
      </c>
    </row>
    <row r="25" spans="1:20" s="28" customFormat="1" ht="15.6" hidden="1" outlineLevel="1" x14ac:dyDescent="0.25">
      <c r="A25" s="38" t="s">
        <v>47</v>
      </c>
      <c r="B25" s="41" t="s">
        <v>48</v>
      </c>
      <c r="C25" s="25" t="s">
        <v>27</v>
      </c>
      <c r="D25" s="42">
        <v>34.299999999999997</v>
      </c>
      <c r="E25" s="42">
        <v>35.700000000000003</v>
      </c>
      <c r="F25" s="42">
        <v>35.700000000000003</v>
      </c>
      <c r="G25" s="29">
        <v>25</v>
      </c>
      <c r="H25" s="43">
        <v>0</v>
      </c>
      <c r="I25" s="43">
        <v>0</v>
      </c>
      <c r="J25" s="43">
        <v>10</v>
      </c>
      <c r="K25" s="43">
        <v>0</v>
      </c>
      <c r="L25" s="43"/>
      <c r="M25" s="43"/>
      <c r="N25" s="44">
        <v>0</v>
      </c>
      <c r="O25" s="44">
        <v>0</v>
      </c>
      <c r="P25" s="44">
        <v>10</v>
      </c>
      <c r="Q25" s="44">
        <f t="shared" si="4"/>
        <v>0</v>
      </c>
      <c r="R25" s="44">
        <f>P25*1.02</f>
        <v>10.199999999999999</v>
      </c>
      <c r="S25" s="44">
        <f>Q25*1.017</f>
        <v>0</v>
      </c>
      <c r="T25" s="45">
        <f t="shared" si="6"/>
        <v>10.373399999999998</v>
      </c>
    </row>
    <row r="26" spans="1:20" s="28" customFormat="1" ht="46.8" collapsed="1" x14ac:dyDescent="0.25">
      <c r="A26" s="23" t="s">
        <v>49</v>
      </c>
      <c r="B26" s="30" t="s">
        <v>50</v>
      </c>
      <c r="C26" s="25" t="s">
        <v>51</v>
      </c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39"/>
      <c r="O26" s="39"/>
      <c r="P26" s="39"/>
      <c r="Q26" s="39"/>
      <c r="R26" s="39"/>
      <c r="S26" s="39"/>
      <c r="T26" s="40"/>
    </row>
    <row r="27" spans="1:20" s="28" customFormat="1" ht="15.6" x14ac:dyDescent="0.25">
      <c r="A27" s="23"/>
      <c r="B27" s="30" t="s">
        <v>52</v>
      </c>
      <c r="C27" s="25" t="s">
        <v>53</v>
      </c>
      <c r="D27" s="29">
        <f>50.8*1.011</f>
        <v>51.358799999999995</v>
      </c>
      <c r="E27" s="29">
        <v>47.75</v>
      </c>
      <c r="F27" s="29">
        <v>45.3</v>
      </c>
      <c r="G27" s="29">
        <f>F27*0.98</f>
        <v>44.393999999999998</v>
      </c>
      <c r="H27" s="29">
        <v>45.104303999999999</v>
      </c>
      <c r="I27" s="29">
        <v>42.8</v>
      </c>
      <c r="J27" s="29">
        <v>42.5</v>
      </c>
      <c r="K27" s="46">
        <v>43.3</v>
      </c>
      <c r="L27" s="46">
        <v>43.2</v>
      </c>
      <c r="M27" s="46">
        <v>43.3</v>
      </c>
      <c r="N27" s="46">
        <v>43.3</v>
      </c>
      <c r="O27" s="29">
        <f>N27*101%</f>
        <v>43.732999999999997</v>
      </c>
      <c r="P27" s="46">
        <f>N27*101%</f>
        <v>43.732999999999997</v>
      </c>
      <c r="Q27" s="29">
        <f t="shared" ref="Q27:Q28" si="7">O27*100.2%</f>
        <v>43.820465999999996</v>
      </c>
      <c r="R27" s="29">
        <f t="shared" ref="R27:R28" si="8">P27*100.2%</f>
        <v>43.820465999999996</v>
      </c>
      <c r="S27" s="29">
        <f t="shared" ref="S27:S28" si="9">Q27*100.2%</f>
        <v>43.908106931999995</v>
      </c>
      <c r="T27" s="47">
        <f t="shared" ref="T27:T28" si="10">R27*100.2%</f>
        <v>43.908106931999995</v>
      </c>
    </row>
    <row r="28" spans="1:20" s="28" customFormat="1" ht="15.6" x14ac:dyDescent="0.25">
      <c r="A28" s="23"/>
      <c r="B28" s="30" t="s">
        <v>54</v>
      </c>
      <c r="C28" s="25" t="s">
        <v>55</v>
      </c>
      <c r="D28" s="26">
        <v>523.5</v>
      </c>
      <c r="E28" s="29">
        <v>429</v>
      </c>
      <c r="F28" s="29">
        <v>510.7</v>
      </c>
      <c r="G28" s="29">
        <f>F28*0.98</f>
        <v>500.48599999999999</v>
      </c>
      <c r="H28" s="29">
        <v>508.49377600000003</v>
      </c>
      <c r="I28" s="29">
        <v>505.6</v>
      </c>
      <c r="J28" s="29">
        <v>408.3</v>
      </c>
      <c r="K28" s="46">
        <v>409.2</v>
      </c>
      <c r="L28" s="46">
        <v>401</v>
      </c>
      <c r="M28" s="46">
        <v>409.6</v>
      </c>
      <c r="N28" s="46">
        <v>409.6</v>
      </c>
      <c r="O28" s="29">
        <f>N28*101%</f>
        <v>413.69600000000003</v>
      </c>
      <c r="P28" s="46">
        <f>N28*101%</f>
        <v>413.69600000000003</v>
      </c>
      <c r="Q28" s="29">
        <f t="shared" si="7"/>
        <v>414.523392</v>
      </c>
      <c r="R28" s="29">
        <f t="shared" si="8"/>
        <v>414.523392</v>
      </c>
      <c r="S28" s="29">
        <f t="shared" si="9"/>
        <v>415.35243878400001</v>
      </c>
      <c r="T28" s="47">
        <f t="shared" si="10"/>
        <v>415.35243878400001</v>
      </c>
    </row>
    <row r="29" spans="1:20" s="28" customFormat="1" ht="15.6" x14ac:dyDescent="0.25">
      <c r="A29" s="48" t="s">
        <v>56</v>
      </c>
      <c r="B29" s="30" t="s">
        <v>57</v>
      </c>
      <c r="C29" s="25" t="s">
        <v>58</v>
      </c>
      <c r="D29" s="42">
        <v>213.4</v>
      </c>
      <c r="E29" s="42">
        <v>213.3</v>
      </c>
      <c r="F29" s="42">
        <v>214</v>
      </c>
      <c r="G29" s="42">
        <f>F29*1.1</f>
        <v>235.4</v>
      </c>
      <c r="H29" s="42">
        <v>246.69920000000002</v>
      </c>
      <c r="I29" s="49">
        <v>225.3</v>
      </c>
      <c r="J29" s="49">
        <v>124.1</v>
      </c>
      <c r="K29" s="42">
        <v>147.4</v>
      </c>
      <c r="L29" s="42">
        <v>125.3</v>
      </c>
      <c r="M29" s="42">
        <v>0</v>
      </c>
      <c r="N29" s="42">
        <v>0</v>
      </c>
      <c r="O29" s="49">
        <f t="shared" ref="O29:O32" si="11">N29*102%</f>
        <v>0</v>
      </c>
      <c r="P29" s="42">
        <f>N29*1</f>
        <v>0</v>
      </c>
      <c r="Q29" s="42">
        <f>O29*1.005</f>
        <v>0</v>
      </c>
      <c r="R29" s="42">
        <f>P29*1.005</f>
        <v>0</v>
      </c>
      <c r="S29" s="42">
        <f>Q29*1.006</f>
        <v>0</v>
      </c>
      <c r="T29" s="50">
        <f>R29*1.006</f>
        <v>0</v>
      </c>
    </row>
    <row r="30" spans="1:20" s="28" customFormat="1" ht="15.6" x14ac:dyDescent="0.25">
      <c r="A30" s="23" t="s">
        <v>59</v>
      </c>
      <c r="B30" s="30" t="s">
        <v>38</v>
      </c>
      <c r="C30" s="25" t="s">
        <v>60</v>
      </c>
      <c r="D30" s="26">
        <v>1298</v>
      </c>
      <c r="E30" s="26">
        <v>1297</v>
      </c>
      <c r="F30" s="26">
        <v>1328</v>
      </c>
      <c r="G30" s="26">
        <f>F30*1.1</f>
        <v>1460.8000000000002</v>
      </c>
      <c r="H30" s="26">
        <v>1538.2224000000001</v>
      </c>
      <c r="I30" s="26">
        <v>1519</v>
      </c>
      <c r="J30" s="26">
        <v>2401</v>
      </c>
      <c r="K30" s="26">
        <v>2526</v>
      </c>
      <c r="L30" s="26">
        <v>2307</v>
      </c>
      <c r="M30" s="26">
        <v>2526</v>
      </c>
      <c r="N30" s="26">
        <v>2500</v>
      </c>
      <c r="O30" s="26">
        <f t="shared" si="11"/>
        <v>2550</v>
      </c>
      <c r="P30" s="26">
        <f>N30*1</f>
        <v>2500</v>
      </c>
      <c r="Q30" s="26">
        <f t="shared" ref="Q30:T32" si="12">O30*101%</f>
        <v>2575.5</v>
      </c>
      <c r="R30" s="26">
        <f t="shared" si="12"/>
        <v>2525</v>
      </c>
      <c r="S30" s="26">
        <f t="shared" si="12"/>
        <v>2601.2550000000001</v>
      </c>
      <c r="T30" s="27">
        <f t="shared" si="12"/>
        <v>2550.25</v>
      </c>
    </row>
    <row r="31" spans="1:20" s="28" customFormat="1" ht="15.6" x14ac:dyDescent="0.25">
      <c r="A31" s="23" t="s">
        <v>61</v>
      </c>
      <c r="B31" s="32" t="s">
        <v>40</v>
      </c>
      <c r="C31" s="25" t="s">
        <v>62</v>
      </c>
      <c r="D31" s="26">
        <v>20041</v>
      </c>
      <c r="E31" s="26">
        <v>41821</v>
      </c>
      <c r="F31" s="26">
        <v>43524</v>
      </c>
      <c r="G31" s="26">
        <v>44120</v>
      </c>
      <c r="H31" s="26">
        <v>50413.849199999997</v>
      </c>
      <c r="I31" s="26">
        <v>50799</v>
      </c>
      <c r="J31" s="26">
        <v>49952</v>
      </c>
      <c r="K31" s="26">
        <v>50951</v>
      </c>
      <c r="L31" s="26">
        <v>50951</v>
      </c>
      <c r="M31" s="26">
        <v>51000</v>
      </c>
      <c r="N31" s="26">
        <v>51000</v>
      </c>
      <c r="O31" s="26">
        <f t="shared" si="11"/>
        <v>52020</v>
      </c>
      <c r="P31" s="26">
        <f>N31*1</f>
        <v>51000</v>
      </c>
      <c r="Q31" s="26">
        <f t="shared" si="12"/>
        <v>52540.2</v>
      </c>
      <c r="R31" s="26">
        <f t="shared" si="12"/>
        <v>51510</v>
      </c>
      <c r="S31" s="26">
        <f t="shared" si="12"/>
        <v>53065.601999999999</v>
      </c>
      <c r="T31" s="27">
        <f t="shared" si="12"/>
        <v>52025.1</v>
      </c>
    </row>
    <row r="32" spans="1:20" s="28" customFormat="1" ht="15.6" x14ac:dyDescent="0.25">
      <c r="A32" s="23" t="s">
        <v>63</v>
      </c>
      <c r="B32" s="32" t="s">
        <v>42</v>
      </c>
      <c r="C32" s="25" t="s">
        <v>60</v>
      </c>
      <c r="D32" s="26">
        <v>500</v>
      </c>
      <c r="E32" s="26">
        <v>491</v>
      </c>
      <c r="F32" s="26">
        <v>513</v>
      </c>
      <c r="G32" s="26">
        <f>F32*1.1</f>
        <v>564.30000000000007</v>
      </c>
      <c r="H32" s="26">
        <v>594.2079</v>
      </c>
      <c r="I32" s="26">
        <v>598</v>
      </c>
      <c r="J32" s="26">
        <v>528</v>
      </c>
      <c r="K32" s="26">
        <v>526</v>
      </c>
      <c r="L32" s="26">
        <v>481</v>
      </c>
      <c r="M32" s="26">
        <v>515</v>
      </c>
      <c r="N32" s="26">
        <v>495</v>
      </c>
      <c r="O32" s="26">
        <f t="shared" si="11"/>
        <v>504.90000000000003</v>
      </c>
      <c r="P32" s="26">
        <f>N32*1</f>
        <v>495</v>
      </c>
      <c r="Q32" s="26">
        <f t="shared" si="12"/>
        <v>509.94900000000001</v>
      </c>
      <c r="R32" s="26">
        <f t="shared" si="12"/>
        <v>499.95</v>
      </c>
      <c r="S32" s="26">
        <f t="shared" si="12"/>
        <v>515.04849000000002</v>
      </c>
      <c r="T32" s="27">
        <f t="shared" si="12"/>
        <v>504.9495</v>
      </c>
    </row>
    <row r="33" spans="1:20" s="28" customFormat="1" ht="15.6" hidden="1" outlineLevel="1" x14ac:dyDescent="0.25">
      <c r="A33" s="23" t="s">
        <v>64</v>
      </c>
      <c r="B33" s="41" t="s">
        <v>48</v>
      </c>
      <c r="C33" s="25" t="s">
        <v>65</v>
      </c>
      <c r="D33" s="34">
        <v>0.05</v>
      </c>
      <c r="E33" s="34">
        <v>0.06</v>
      </c>
      <c r="F33" s="34">
        <v>7.0000000000000007E-2</v>
      </c>
      <c r="G33" s="34">
        <v>0.1</v>
      </c>
      <c r="H33" s="34">
        <v>0</v>
      </c>
      <c r="I33" s="34">
        <v>0</v>
      </c>
      <c r="J33" s="34">
        <v>0</v>
      </c>
      <c r="K33" s="34">
        <v>0</v>
      </c>
      <c r="L33" s="34"/>
      <c r="M33" s="34"/>
      <c r="N33" s="51">
        <v>0</v>
      </c>
      <c r="O33" s="51">
        <v>0</v>
      </c>
      <c r="P33" s="51">
        <v>0.12</v>
      </c>
      <c r="Q33" s="51">
        <f t="shared" si="4"/>
        <v>0</v>
      </c>
      <c r="R33" s="51">
        <f t="shared" ref="R33" si="13">P33*1.02</f>
        <v>0.12239999999999999</v>
      </c>
      <c r="S33" s="51">
        <f t="shared" ref="S33:T33" si="14">Q33*1.017</f>
        <v>0</v>
      </c>
      <c r="T33" s="52">
        <f t="shared" si="14"/>
        <v>0.12448079999999999</v>
      </c>
    </row>
    <row r="34" spans="1:20" s="28" customFormat="1" ht="31.2" collapsed="1" x14ac:dyDescent="0.25">
      <c r="A34" s="53" t="s">
        <v>66</v>
      </c>
      <c r="B34" s="54" t="s">
        <v>67</v>
      </c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39"/>
      <c r="P34" s="39"/>
      <c r="Q34" s="39"/>
      <c r="R34" s="39"/>
      <c r="S34" s="39"/>
      <c r="T34" s="40"/>
    </row>
    <row r="35" spans="1:20" s="28" customFormat="1" ht="46.8" x14ac:dyDescent="0.25">
      <c r="A35" s="23" t="s">
        <v>25</v>
      </c>
      <c r="B35" s="30" t="s">
        <v>68</v>
      </c>
      <c r="C35" s="25" t="s">
        <v>51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39"/>
      <c r="P35" s="39"/>
      <c r="Q35" s="39"/>
      <c r="R35" s="39"/>
      <c r="S35" s="39"/>
      <c r="T35" s="40"/>
    </row>
    <row r="36" spans="1:20" s="28" customFormat="1" ht="15.6" x14ac:dyDescent="0.25">
      <c r="A36" s="23"/>
      <c r="B36" s="30" t="s">
        <v>69</v>
      </c>
      <c r="C36" s="25" t="s">
        <v>70</v>
      </c>
      <c r="D36" s="34">
        <f>D39+D40+D42+D43+D45</f>
        <v>74.709999999999994</v>
      </c>
      <c r="E36" s="34">
        <v>67.5</v>
      </c>
      <c r="F36" s="34">
        <v>33.6</v>
      </c>
      <c r="G36" s="43">
        <f t="shared" ref="G36" si="15">G39+G40+G42+G43+G45</f>
        <v>15.7</v>
      </c>
      <c r="H36" s="34">
        <v>5.5019999999999998</v>
      </c>
      <c r="I36" s="34">
        <v>3</v>
      </c>
      <c r="J36" s="34">
        <v>4.01</v>
      </c>
      <c r="K36" s="34">
        <v>3.1</v>
      </c>
      <c r="L36" s="34">
        <v>2.5</v>
      </c>
      <c r="M36" s="34">
        <v>0</v>
      </c>
      <c r="N36" s="34">
        <v>0</v>
      </c>
      <c r="O36" s="34">
        <v>2.2999999999999998</v>
      </c>
      <c r="P36" s="34">
        <v>1.5</v>
      </c>
      <c r="Q36" s="34">
        <f>O36*102%</f>
        <v>2.3459999999999996</v>
      </c>
      <c r="R36" s="34">
        <f>P36*0.99</f>
        <v>1.4849999999999999</v>
      </c>
      <c r="S36" s="34">
        <f>Q36*102%</f>
        <v>2.3929199999999997</v>
      </c>
      <c r="T36" s="55">
        <f>R36*0.99</f>
        <v>1.4701499999999998</v>
      </c>
    </row>
    <row r="37" spans="1:20" s="28" customFormat="1" ht="15.6" hidden="1" outlineLevel="1" x14ac:dyDescent="0.25">
      <c r="A37" s="23"/>
      <c r="B37" s="30" t="s">
        <v>71</v>
      </c>
      <c r="C37" s="25"/>
      <c r="D37" s="34">
        <f>D41</f>
        <v>3.25</v>
      </c>
      <c r="E37" s="34">
        <f>E41</f>
        <v>0</v>
      </c>
      <c r="F37" s="34">
        <f>F41</f>
        <v>0</v>
      </c>
      <c r="G37" s="43">
        <f>F37*0.95</f>
        <v>0</v>
      </c>
      <c r="H37" s="56">
        <v>0</v>
      </c>
      <c r="I37" s="56"/>
      <c r="J37" s="56"/>
      <c r="K37" s="56"/>
      <c r="L37" s="56"/>
      <c r="M37" s="56"/>
      <c r="N37" s="56"/>
      <c r="O37" s="56"/>
      <c r="P37" s="56"/>
      <c r="Q37" s="101">
        <f t="shared" ref="Q37:Q43" si="16">O37*1.015</f>
        <v>0</v>
      </c>
      <c r="R37" s="101">
        <f t="shared" ref="R37:R43" si="17">P37*1.02</f>
        <v>0</v>
      </c>
      <c r="S37" s="101">
        <f t="shared" ref="S37:T43" si="18">Q37*1.017</f>
        <v>0</v>
      </c>
      <c r="T37" s="102">
        <f t="shared" si="18"/>
        <v>0</v>
      </c>
    </row>
    <row r="38" spans="1:20" s="28" customFormat="1" ht="15.6" hidden="1" outlineLevel="1" x14ac:dyDescent="0.25">
      <c r="A38" s="23"/>
      <c r="B38" s="30" t="s">
        <v>72</v>
      </c>
      <c r="C38" s="25" t="s">
        <v>73</v>
      </c>
      <c r="D38" s="56">
        <v>8.0000000000000002E-3</v>
      </c>
      <c r="E38" s="56">
        <v>5.0000000000000001E-3</v>
      </c>
      <c r="F38" s="56">
        <v>5.0000000000000001E-3</v>
      </c>
      <c r="G38" s="43">
        <f>F38*0.95</f>
        <v>4.7499999999999999E-3</v>
      </c>
      <c r="H38" s="56">
        <v>4.9779999999999998E-3</v>
      </c>
      <c r="I38" s="56"/>
      <c r="J38" s="56"/>
      <c r="K38" s="56"/>
      <c r="L38" s="56"/>
      <c r="M38" s="56"/>
      <c r="N38" s="56"/>
      <c r="O38" s="56"/>
      <c r="P38" s="56"/>
      <c r="Q38" s="101">
        <f t="shared" si="16"/>
        <v>0</v>
      </c>
      <c r="R38" s="101">
        <f t="shared" si="17"/>
        <v>0</v>
      </c>
      <c r="S38" s="101">
        <f t="shared" si="18"/>
        <v>0</v>
      </c>
      <c r="T38" s="102">
        <f t="shared" si="18"/>
        <v>0</v>
      </c>
    </row>
    <row r="39" spans="1:20" s="28" customFormat="1" ht="15.6" hidden="1" outlineLevel="1" x14ac:dyDescent="0.25">
      <c r="A39" s="31" t="s">
        <v>28</v>
      </c>
      <c r="B39" s="32" t="s">
        <v>74</v>
      </c>
      <c r="C39" s="60" t="s">
        <v>70</v>
      </c>
      <c r="D39" s="61">
        <v>10</v>
      </c>
      <c r="E39" s="61">
        <v>7.5</v>
      </c>
      <c r="F39" s="61">
        <v>7.5</v>
      </c>
      <c r="G39" s="43">
        <v>5.3</v>
      </c>
      <c r="H39" s="56">
        <v>5.5020000000000007</v>
      </c>
      <c r="I39" s="56">
        <v>3</v>
      </c>
      <c r="J39" s="56">
        <v>0</v>
      </c>
      <c r="K39" s="56">
        <v>0</v>
      </c>
      <c r="L39" s="56"/>
      <c r="M39" s="56"/>
      <c r="N39" s="56">
        <v>0</v>
      </c>
      <c r="O39" s="56">
        <v>3</v>
      </c>
      <c r="P39" s="56">
        <v>0</v>
      </c>
      <c r="Q39" s="101">
        <f t="shared" si="16"/>
        <v>3.0449999999999999</v>
      </c>
      <c r="R39" s="101">
        <f t="shared" si="17"/>
        <v>0</v>
      </c>
      <c r="S39" s="101">
        <f t="shared" si="18"/>
        <v>3.0967649999999995</v>
      </c>
      <c r="T39" s="102">
        <f t="shared" si="18"/>
        <v>0</v>
      </c>
    </row>
    <row r="40" spans="1:20" s="28" customFormat="1" ht="15.6" hidden="1" outlineLevel="1" x14ac:dyDescent="0.25">
      <c r="A40" s="31" t="s">
        <v>30</v>
      </c>
      <c r="B40" s="32" t="s">
        <v>75</v>
      </c>
      <c r="C40" s="60" t="s">
        <v>70</v>
      </c>
      <c r="D40" s="61">
        <v>6.5</v>
      </c>
      <c r="E40" s="61">
        <v>8.9</v>
      </c>
      <c r="F40" s="61">
        <v>3.3</v>
      </c>
      <c r="G40" s="43">
        <v>0</v>
      </c>
      <c r="H40" s="56">
        <v>0</v>
      </c>
      <c r="I40" s="56"/>
      <c r="J40" s="56"/>
      <c r="K40" s="56"/>
      <c r="L40" s="56"/>
      <c r="M40" s="56"/>
      <c r="N40" s="56"/>
      <c r="O40" s="56"/>
      <c r="P40" s="56"/>
      <c r="Q40" s="101">
        <f t="shared" si="16"/>
        <v>0</v>
      </c>
      <c r="R40" s="101">
        <f t="shared" si="17"/>
        <v>0</v>
      </c>
      <c r="S40" s="101">
        <f t="shared" si="18"/>
        <v>0</v>
      </c>
      <c r="T40" s="102">
        <f t="shared" si="18"/>
        <v>0</v>
      </c>
    </row>
    <row r="41" spans="1:20" s="28" customFormat="1" ht="15.6" hidden="1" outlineLevel="1" x14ac:dyDescent="0.25">
      <c r="A41" s="31"/>
      <c r="B41" s="32" t="s">
        <v>71</v>
      </c>
      <c r="C41" s="60" t="s">
        <v>70</v>
      </c>
      <c r="D41" s="61">
        <v>3.25</v>
      </c>
      <c r="E41" s="61">
        <v>0</v>
      </c>
      <c r="F41" s="61">
        <v>0</v>
      </c>
      <c r="G41" s="43">
        <f t="shared" ref="G41:G46" si="19">F41*0.95</f>
        <v>0</v>
      </c>
      <c r="H41" s="56">
        <v>0</v>
      </c>
      <c r="I41" s="56"/>
      <c r="J41" s="56"/>
      <c r="K41" s="56"/>
      <c r="L41" s="56"/>
      <c r="M41" s="56"/>
      <c r="N41" s="56"/>
      <c r="O41" s="56"/>
      <c r="P41" s="56"/>
      <c r="Q41" s="101">
        <f t="shared" si="16"/>
        <v>0</v>
      </c>
      <c r="R41" s="101">
        <f t="shared" si="17"/>
        <v>0</v>
      </c>
      <c r="S41" s="101">
        <f t="shared" si="18"/>
        <v>0</v>
      </c>
      <c r="T41" s="102">
        <f t="shared" si="18"/>
        <v>0</v>
      </c>
    </row>
    <row r="42" spans="1:20" s="28" customFormat="1" ht="15.6" hidden="1" outlineLevel="1" x14ac:dyDescent="0.25">
      <c r="A42" s="31" t="s">
        <v>30</v>
      </c>
      <c r="B42" s="32" t="s">
        <v>76</v>
      </c>
      <c r="C42" s="60" t="s">
        <v>70</v>
      </c>
      <c r="D42" s="61">
        <v>26.61</v>
      </c>
      <c r="E42" s="61">
        <v>32.9</v>
      </c>
      <c r="F42" s="61">
        <v>10.9</v>
      </c>
      <c r="G42" s="43">
        <v>10.4</v>
      </c>
      <c r="H42" s="56">
        <v>0</v>
      </c>
      <c r="I42" s="56">
        <v>0</v>
      </c>
      <c r="J42" s="56"/>
      <c r="K42" s="56">
        <v>0</v>
      </c>
      <c r="L42" s="56"/>
      <c r="M42" s="56"/>
      <c r="N42" s="56">
        <v>0</v>
      </c>
      <c r="O42" s="56">
        <v>0</v>
      </c>
      <c r="P42" s="56">
        <v>0</v>
      </c>
      <c r="Q42" s="101">
        <f t="shared" si="16"/>
        <v>0</v>
      </c>
      <c r="R42" s="101">
        <f t="shared" si="17"/>
        <v>0</v>
      </c>
      <c r="S42" s="101">
        <f t="shared" si="18"/>
        <v>0</v>
      </c>
      <c r="T42" s="102">
        <f t="shared" si="18"/>
        <v>0</v>
      </c>
    </row>
    <row r="43" spans="1:20" s="28" customFormat="1" ht="15.6" hidden="1" outlineLevel="1" x14ac:dyDescent="0.25">
      <c r="A43" s="31" t="s">
        <v>35</v>
      </c>
      <c r="B43" s="32" t="s">
        <v>77</v>
      </c>
      <c r="C43" s="60" t="s">
        <v>70</v>
      </c>
      <c r="D43" s="61">
        <v>26</v>
      </c>
      <c r="E43" s="61">
        <v>12.4</v>
      </c>
      <c r="F43" s="61">
        <v>0</v>
      </c>
      <c r="G43" s="43">
        <f t="shared" si="19"/>
        <v>0</v>
      </c>
      <c r="H43" s="56">
        <v>0</v>
      </c>
      <c r="I43" s="56">
        <v>0</v>
      </c>
      <c r="J43" s="56"/>
      <c r="K43" s="56">
        <v>0</v>
      </c>
      <c r="L43" s="56"/>
      <c r="M43" s="56"/>
      <c r="N43" s="56">
        <v>0</v>
      </c>
      <c r="O43" s="56">
        <v>0</v>
      </c>
      <c r="P43" s="56">
        <v>0</v>
      </c>
      <c r="Q43" s="101">
        <f t="shared" si="16"/>
        <v>0</v>
      </c>
      <c r="R43" s="101">
        <f t="shared" si="17"/>
        <v>0</v>
      </c>
      <c r="S43" s="101">
        <f t="shared" si="18"/>
        <v>0</v>
      </c>
      <c r="T43" s="102">
        <f t="shared" si="18"/>
        <v>0</v>
      </c>
    </row>
    <row r="44" spans="1:20" s="28" customFormat="1" ht="15.6" hidden="1" outlineLevel="1" x14ac:dyDescent="0.25">
      <c r="A44" s="31" t="s">
        <v>39</v>
      </c>
      <c r="B44" s="32" t="s">
        <v>78</v>
      </c>
      <c r="C44" s="60"/>
      <c r="D44" s="61"/>
      <c r="E44" s="61"/>
      <c r="F44" s="61"/>
      <c r="G44" s="43">
        <f t="shared" si="19"/>
        <v>0</v>
      </c>
      <c r="H44" s="56">
        <v>0</v>
      </c>
      <c r="I44" s="56"/>
      <c r="J44" s="56"/>
      <c r="K44" s="56"/>
      <c r="L44" s="56"/>
      <c r="M44" s="56"/>
      <c r="N44" s="56"/>
      <c r="O44" s="56"/>
      <c r="P44" s="56"/>
      <c r="Q44" s="101">
        <f t="shared" ref="Q44:Q46" si="20">R44*0.98</f>
        <v>0</v>
      </c>
      <c r="R44" s="101">
        <f>P44*1.043</f>
        <v>0</v>
      </c>
      <c r="S44" s="101">
        <f t="shared" ref="S44:S46" si="21">T44*0.98</f>
        <v>0</v>
      </c>
      <c r="T44" s="102">
        <f>R44*1.043</f>
        <v>0</v>
      </c>
    </row>
    <row r="45" spans="1:20" s="28" customFormat="1" ht="15.6" hidden="1" outlineLevel="1" x14ac:dyDescent="0.25">
      <c r="A45" s="31"/>
      <c r="B45" s="32" t="s">
        <v>79</v>
      </c>
      <c r="C45" s="60" t="s">
        <v>70</v>
      </c>
      <c r="D45" s="61">
        <v>5.6</v>
      </c>
      <c r="E45" s="61">
        <v>2.4</v>
      </c>
      <c r="F45" s="61">
        <v>0</v>
      </c>
      <c r="G45" s="43">
        <f t="shared" si="19"/>
        <v>0</v>
      </c>
      <c r="H45" s="56">
        <v>0</v>
      </c>
      <c r="I45" s="56"/>
      <c r="J45" s="56"/>
      <c r="K45" s="56"/>
      <c r="L45" s="56"/>
      <c r="M45" s="56"/>
      <c r="N45" s="56"/>
      <c r="O45" s="56"/>
      <c r="P45" s="56"/>
      <c r="Q45" s="101">
        <f t="shared" si="20"/>
        <v>0</v>
      </c>
      <c r="R45" s="101">
        <f>P45*1.043</f>
        <v>0</v>
      </c>
      <c r="S45" s="101">
        <f t="shared" si="21"/>
        <v>0</v>
      </c>
      <c r="T45" s="102">
        <f>R45*1.043</f>
        <v>0</v>
      </c>
    </row>
    <row r="46" spans="1:20" s="28" customFormat="1" ht="15.6" hidden="1" outlineLevel="1" x14ac:dyDescent="0.25">
      <c r="A46" s="31"/>
      <c r="B46" s="32" t="s">
        <v>80</v>
      </c>
      <c r="C46" s="60" t="s">
        <v>73</v>
      </c>
      <c r="D46" s="62">
        <v>8.0000000000000002E-3</v>
      </c>
      <c r="E46" s="62">
        <v>2.3999999999999998E-3</v>
      </c>
      <c r="F46" s="62">
        <v>0</v>
      </c>
      <c r="G46" s="43">
        <f t="shared" si="19"/>
        <v>0</v>
      </c>
      <c r="H46" s="56">
        <v>0</v>
      </c>
      <c r="I46" s="56"/>
      <c r="J46" s="56"/>
      <c r="K46" s="56"/>
      <c r="L46" s="56"/>
      <c r="M46" s="56"/>
      <c r="N46" s="56"/>
      <c r="O46" s="56"/>
      <c r="P46" s="56"/>
      <c r="Q46" s="101">
        <f t="shared" si="20"/>
        <v>0</v>
      </c>
      <c r="R46" s="101">
        <f>P46*1.043</f>
        <v>0</v>
      </c>
      <c r="S46" s="101">
        <f t="shared" si="21"/>
        <v>0</v>
      </c>
      <c r="T46" s="102">
        <f>R46*1.043</f>
        <v>0</v>
      </c>
    </row>
    <row r="47" spans="1:20" s="28" customFormat="1" ht="15.6" collapsed="1" x14ac:dyDescent="0.25">
      <c r="A47" s="23" t="s">
        <v>49</v>
      </c>
      <c r="B47" s="30" t="s">
        <v>81</v>
      </c>
      <c r="C47" s="25" t="s">
        <v>27</v>
      </c>
      <c r="D47" s="34">
        <f t="shared" ref="D47:G47" si="22">D48+D52</f>
        <v>14062</v>
      </c>
      <c r="E47" s="34">
        <f t="shared" si="22"/>
        <v>11445.2</v>
      </c>
      <c r="F47" s="34">
        <f t="shared" si="22"/>
        <v>9483</v>
      </c>
      <c r="G47" s="29">
        <f t="shared" si="22"/>
        <v>10026.220000000001</v>
      </c>
      <c r="H47" s="34">
        <v>10507.478560000003</v>
      </c>
      <c r="I47" s="34">
        <f t="shared" ref="I47:T47" si="23">I48+I50+I51+I52</f>
        <v>10062</v>
      </c>
      <c r="J47" s="34">
        <f t="shared" si="23"/>
        <v>6119.5</v>
      </c>
      <c r="K47" s="34">
        <f t="shared" si="23"/>
        <v>6686.4369999999999</v>
      </c>
      <c r="L47" s="34">
        <f t="shared" si="23"/>
        <v>5879.45</v>
      </c>
      <c r="M47" s="34">
        <f t="shared" si="23"/>
        <v>0</v>
      </c>
      <c r="N47" s="34">
        <f t="shared" si="23"/>
        <v>0</v>
      </c>
      <c r="O47" s="34">
        <f t="shared" si="23"/>
        <v>4308</v>
      </c>
      <c r="P47" s="34">
        <f t="shared" si="23"/>
        <v>3175</v>
      </c>
      <c r="Q47" s="34">
        <f t="shared" si="23"/>
        <v>4394.16</v>
      </c>
      <c r="R47" s="34">
        <f t="shared" si="23"/>
        <v>3143.25</v>
      </c>
      <c r="S47" s="34">
        <f t="shared" si="23"/>
        <v>4482.0432000000001</v>
      </c>
      <c r="T47" s="55">
        <f t="shared" si="23"/>
        <v>3111.8175000000001</v>
      </c>
    </row>
    <row r="48" spans="1:20" s="28" customFormat="1" ht="15.6" x14ac:dyDescent="0.25">
      <c r="A48" s="31"/>
      <c r="B48" s="32" t="s">
        <v>82</v>
      </c>
      <c r="C48" s="60" t="s">
        <v>27</v>
      </c>
      <c r="D48" s="61">
        <f>D49+D50+D51</f>
        <v>7873.48</v>
      </c>
      <c r="E48" s="61">
        <v>3765.2</v>
      </c>
      <c r="F48" s="61">
        <v>1350</v>
      </c>
      <c r="G48" s="42">
        <f t="shared" ref="G48:H48" si="24">G49+G51</f>
        <v>1079.92</v>
      </c>
      <c r="H48" s="61">
        <f t="shared" si="24"/>
        <v>1131.7561600000001</v>
      </c>
      <c r="I48" s="61">
        <f>I39*350</f>
        <v>1050</v>
      </c>
      <c r="J48" s="61">
        <f>J36*350</f>
        <v>1403.5</v>
      </c>
      <c r="K48" s="61">
        <f>K36*350</f>
        <v>1085</v>
      </c>
      <c r="L48" s="61">
        <f>L36*390</f>
        <v>975</v>
      </c>
      <c r="M48" s="61">
        <v>0</v>
      </c>
      <c r="N48" s="61">
        <v>0</v>
      </c>
      <c r="O48" s="61">
        <v>108</v>
      </c>
      <c r="P48" s="61">
        <v>75</v>
      </c>
      <c r="Q48" s="61">
        <f>O48*102%</f>
        <v>110.16</v>
      </c>
      <c r="R48" s="61">
        <f>P48*0.99</f>
        <v>74.25</v>
      </c>
      <c r="S48" s="61">
        <f>Q48*102%</f>
        <v>112.36319999999999</v>
      </c>
      <c r="T48" s="63">
        <f>R48*0.99</f>
        <v>73.507499999999993</v>
      </c>
    </row>
    <row r="49" spans="1:21" s="28" customFormat="1" ht="15.6" hidden="1" outlineLevel="1" x14ac:dyDescent="0.25">
      <c r="A49" s="31"/>
      <c r="B49" s="32" t="s">
        <v>79</v>
      </c>
      <c r="C49" s="60" t="s">
        <v>27</v>
      </c>
      <c r="D49" s="61">
        <v>7751.24</v>
      </c>
      <c r="E49" s="61">
        <v>3758.3</v>
      </c>
      <c r="F49" s="61">
        <v>1346.7</v>
      </c>
      <c r="G49" s="42">
        <f>F49*0.8</f>
        <v>1077.3600000000001</v>
      </c>
      <c r="H49" s="61">
        <v>1129.0732800000001</v>
      </c>
      <c r="I49" s="61">
        <v>0</v>
      </c>
      <c r="J49" s="61"/>
      <c r="K49" s="61">
        <v>0</v>
      </c>
      <c r="L49" s="61"/>
      <c r="M49" s="61"/>
      <c r="N49" s="61">
        <v>0</v>
      </c>
      <c r="O49" s="61">
        <v>0</v>
      </c>
      <c r="P49" s="61">
        <v>0</v>
      </c>
      <c r="Q49" s="61">
        <f t="shared" ref="Q49:Q51" si="25">O49*1.015</f>
        <v>0</v>
      </c>
      <c r="R49" s="61">
        <f t="shared" ref="R49:R51" si="26">P49*1.02</f>
        <v>0</v>
      </c>
      <c r="S49" s="61">
        <f t="shared" ref="S49:T51" si="27">Q49*1.017</f>
        <v>0</v>
      </c>
      <c r="T49" s="63">
        <f t="shared" si="27"/>
        <v>0</v>
      </c>
    </row>
    <row r="50" spans="1:21" s="28" customFormat="1" ht="15.6" hidden="1" outlineLevel="1" x14ac:dyDescent="0.25">
      <c r="A50" s="31"/>
      <c r="B50" s="32" t="s">
        <v>71</v>
      </c>
      <c r="C50" s="60"/>
      <c r="D50" s="61">
        <v>92.63</v>
      </c>
      <c r="E50" s="61">
        <v>0</v>
      </c>
      <c r="F50" s="61">
        <v>0</v>
      </c>
      <c r="G50" s="42">
        <f>F50*0.95</f>
        <v>0</v>
      </c>
      <c r="H50" s="61">
        <v>0</v>
      </c>
      <c r="I50" s="61">
        <v>0</v>
      </c>
      <c r="J50" s="61"/>
      <c r="K50" s="61">
        <v>0</v>
      </c>
      <c r="L50" s="61"/>
      <c r="M50" s="61"/>
      <c r="N50" s="61">
        <v>0</v>
      </c>
      <c r="O50" s="61">
        <v>0</v>
      </c>
      <c r="P50" s="61">
        <v>0</v>
      </c>
      <c r="Q50" s="61">
        <f t="shared" si="25"/>
        <v>0</v>
      </c>
      <c r="R50" s="61">
        <f t="shared" si="26"/>
        <v>0</v>
      </c>
      <c r="S50" s="61">
        <f t="shared" si="27"/>
        <v>0</v>
      </c>
      <c r="T50" s="63">
        <f t="shared" si="27"/>
        <v>0</v>
      </c>
    </row>
    <row r="51" spans="1:21" s="28" customFormat="1" ht="15.6" hidden="1" outlineLevel="1" x14ac:dyDescent="0.25">
      <c r="A51" s="31"/>
      <c r="B51" s="32" t="s">
        <v>80</v>
      </c>
      <c r="C51" s="60" t="s">
        <v>27</v>
      </c>
      <c r="D51" s="61">
        <v>29.61</v>
      </c>
      <c r="E51" s="61">
        <v>6.9</v>
      </c>
      <c r="F51" s="61">
        <v>3.2</v>
      </c>
      <c r="G51" s="42">
        <f>F51*0.8</f>
        <v>2.5600000000000005</v>
      </c>
      <c r="H51" s="61">
        <v>2.6828800000000008</v>
      </c>
      <c r="I51" s="61">
        <v>0</v>
      </c>
      <c r="J51" s="61"/>
      <c r="K51" s="61">
        <v>0</v>
      </c>
      <c r="L51" s="61"/>
      <c r="M51" s="61"/>
      <c r="N51" s="61">
        <v>0</v>
      </c>
      <c r="O51" s="61">
        <v>0</v>
      </c>
      <c r="P51" s="61">
        <v>0</v>
      </c>
      <c r="Q51" s="61">
        <f t="shared" si="25"/>
        <v>0</v>
      </c>
      <c r="R51" s="61">
        <f t="shared" si="26"/>
        <v>0</v>
      </c>
      <c r="S51" s="61">
        <f t="shared" si="27"/>
        <v>0</v>
      </c>
      <c r="T51" s="63">
        <f t="shared" si="27"/>
        <v>0</v>
      </c>
    </row>
    <row r="52" spans="1:21" s="28" customFormat="1" ht="15.6" collapsed="1" x14ac:dyDescent="0.25">
      <c r="A52" s="31"/>
      <c r="B52" s="32" t="s">
        <v>83</v>
      </c>
      <c r="C52" s="60" t="s">
        <v>27</v>
      </c>
      <c r="D52" s="61">
        <v>6188.52</v>
      </c>
      <c r="E52" s="61">
        <v>7680</v>
      </c>
      <c r="F52" s="61">
        <v>8133</v>
      </c>
      <c r="G52" s="42">
        <f>F52*1.1</f>
        <v>8946.3000000000011</v>
      </c>
      <c r="H52" s="64">
        <v>9375.7224000000024</v>
      </c>
      <c r="I52" s="64">
        <f>I29*40</f>
        <v>9012</v>
      </c>
      <c r="J52" s="64">
        <v>4716</v>
      </c>
      <c r="K52" s="61">
        <v>5601.4369999999999</v>
      </c>
      <c r="L52" s="61">
        <v>4904.45</v>
      </c>
      <c r="M52" s="61">
        <v>0</v>
      </c>
      <c r="N52" s="61">
        <v>0</v>
      </c>
      <c r="O52" s="64">
        <v>4200</v>
      </c>
      <c r="P52" s="61">
        <v>3100</v>
      </c>
      <c r="Q52" s="61">
        <f>O52*102%</f>
        <v>4284</v>
      </c>
      <c r="R52" s="61">
        <f>P52*0.99</f>
        <v>3069</v>
      </c>
      <c r="S52" s="61">
        <f>Q52*102%</f>
        <v>4369.68</v>
      </c>
      <c r="T52" s="63">
        <f>R52*0.99</f>
        <v>3038.31</v>
      </c>
    </row>
    <row r="53" spans="1:21" s="28" customFormat="1" ht="15.6" x14ac:dyDescent="0.25">
      <c r="A53" s="53" t="s">
        <v>84</v>
      </c>
      <c r="B53" s="65" t="s">
        <v>85</v>
      </c>
      <c r="C53" s="25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7"/>
      <c r="P53" s="67"/>
      <c r="Q53" s="67"/>
      <c r="R53" s="67"/>
      <c r="S53" s="67"/>
      <c r="T53" s="68"/>
    </row>
    <row r="54" spans="1:21" s="28" customFormat="1" ht="15.6" x14ac:dyDescent="0.25">
      <c r="A54" s="23" t="s">
        <v>25</v>
      </c>
      <c r="B54" s="69" t="s">
        <v>86</v>
      </c>
      <c r="C54" s="25" t="s">
        <v>87</v>
      </c>
      <c r="D54" s="43">
        <f>4.9*1.0014</f>
        <v>4.9068600000000009</v>
      </c>
      <c r="E54" s="43">
        <v>4.2729999999999997</v>
      </c>
      <c r="F54" s="43">
        <v>4.2880000000000003</v>
      </c>
      <c r="G54" s="43">
        <v>4.1239999999999997</v>
      </c>
      <c r="H54" s="43">
        <v>3.5590000000000002</v>
      </c>
      <c r="I54" s="43">
        <v>3.5830000000000002</v>
      </c>
      <c r="J54" s="43">
        <v>3.548</v>
      </c>
      <c r="K54" s="43">
        <v>3.4809999999999999</v>
      </c>
      <c r="L54" s="43">
        <v>3.548</v>
      </c>
      <c r="M54" s="43">
        <v>3.5339999999999998</v>
      </c>
      <c r="N54" s="43">
        <v>3.6</v>
      </c>
      <c r="O54" s="43">
        <f>N54*100%</f>
        <v>3.6</v>
      </c>
      <c r="P54" s="43">
        <f>N54*99%</f>
        <v>3.5640000000000001</v>
      </c>
      <c r="Q54" s="43">
        <f>O54*100.3%</f>
        <v>3.6107999999999998</v>
      </c>
      <c r="R54" s="43">
        <f>P54*100%</f>
        <v>3.5640000000000001</v>
      </c>
      <c r="S54" s="43">
        <f>Q54*100.3%</f>
        <v>3.6216323999999993</v>
      </c>
      <c r="T54" s="70">
        <f>R54*100.2%</f>
        <v>3.5711279999999999</v>
      </c>
    </row>
    <row r="55" spans="1:21" s="28" customFormat="1" ht="15.6" x14ac:dyDescent="0.25">
      <c r="A55" s="23" t="s">
        <v>49</v>
      </c>
      <c r="B55" s="69" t="s">
        <v>88</v>
      </c>
      <c r="C55" s="25" t="s">
        <v>87</v>
      </c>
      <c r="D55" s="43"/>
      <c r="E55" s="43"/>
      <c r="F55" s="43"/>
      <c r="G55" s="43">
        <v>0.215</v>
      </c>
      <c r="H55" s="43">
        <v>0.185</v>
      </c>
      <c r="I55" s="43">
        <v>0.14399999999999999</v>
      </c>
      <c r="J55" s="43">
        <v>0.20799999999999999</v>
      </c>
      <c r="K55" s="43">
        <v>0.20799999999999999</v>
      </c>
      <c r="L55" s="43">
        <v>0.26400000000000001</v>
      </c>
      <c r="M55" s="43">
        <v>0.26400000000000001</v>
      </c>
      <c r="N55" s="43">
        <v>0.20799999999999999</v>
      </c>
      <c r="O55" s="43">
        <f>N55*105.5%</f>
        <v>0.21943999999999997</v>
      </c>
      <c r="P55" s="43">
        <f>N55*1</f>
        <v>0.20799999999999999</v>
      </c>
      <c r="Q55" s="43">
        <f t="shared" ref="Q55:T56" si="28">O55*100.8%</f>
        <v>0.22119551999999998</v>
      </c>
      <c r="R55" s="43">
        <f t="shared" si="28"/>
        <v>0.20966399999999999</v>
      </c>
      <c r="S55" s="43">
        <f t="shared" si="28"/>
        <v>0.22296508415999999</v>
      </c>
      <c r="T55" s="70">
        <f t="shared" si="28"/>
        <v>0.211341312</v>
      </c>
    </row>
    <row r="56" spans="1:21" s="28" customFormat="1" ht="15.6" x14ac:dyDescent="0.25">
      <c r="A56" s="23" t="s">
        <v>56</v>
      </c>
      <c r="B56" s="69" t="s">
        <v>89</v>
      </c>
      <c r="C56" s="25" t="s">
        <v>87</v>
      </c>
      <c r="D56" s="43"/>
      <c r="E56" s="43"/>
      <c r="F56" s="43"/>
      <c r="G56" s="43">
        <v>0.123</v>
      </c>
      <c r="H56" s="43">
        <v>0.27200000000000002</v>
      </c>
      <c r="I56" s="43">
        <v>0.20499999999999999</v>
      </c>
      <c r="J56" s="43">
        <v>0.27600000000000002</v>
      </c>
      <c r="K56" s="43">
        <v>0.26400000000000001</v>
      </c>
      <c r="L56" s="43">
        <v>0.20699999999999999</v>
      </c>
      <c r="M56" s="43">
        <v>0.20699999999999999</v>
      </c>
      <c r="N56" s="43">
        <v>0.19500000000000001</v>
      </c>
      <c r="O56" s="43">
        <f>N56*100.5%</f>
        <v>0.19597499999999998</v>
      </c>
      <c r="P56" s="43">
        <f>N56*100.5%</f>
        <v>0.19597499999999998</v>
      </c>
      <c r="Q56" s="43">
        <f t="shared" si="28"/>
        <v>0.19754279999999999</v>
      </c>
      <c r="R56" s="43">
        <f t="shared" si="28"/>
        <v>0.19754279999999999</v>
      </c>
      <c r="S56" s="43">
        <f t="shared" si="28"/>
        <v>0.19912314239999998</v>
      </c>
      <c r="T56" s="70">
        <f t="shared" si="28"/>
        <v>0.19912314239999998</v>
      </c>
      <c r="U56" s="28">
        <v>0.16</v>
      </c>
    </row>
    <row r="57" spans="1:21" s="28" customFormat="1" ht="15.6" x14ac:dyDescent="0.25">
      <c r="A57" s="23" t="s">
        <v>59</v>
      </c>
      <c r="B57" s="69" t="s">
        <v>90</v>
      </c>
      <c r="C57" s="25" t="s">
        <v>87</v>
      </c>
      <c r="D57" s="43"/>
      <c r="E57" s="43"/>
      <c r="F57" s="43"/>
      <c r="G57" s="43">
        <v>9.1999999999999998E-2</v>
      </c>
      <c r="H57" s="43">
        <v>-8.6999999999999994E-2</v>
      </c>
      <c r="I57" s="43">
        <v>-6.0999999999999999E-2</v>
      </c>
      <c r="J57" s="43">
        <v>-6.8000000000000005E-2</v>
      </c>
      <c r="K57" s="43">
        <v>-6.7000000000000004E-2</v>
      </c>
      <c r="L57" s="43">
        <f>L55-L56</f>
        <v>5.7000000000000023E-2</v>
      </c>
      <c r="M57" s="43">
        <v>5.7000000000000023E-2</v>
      </c>
      <c r="N57" s="71">
        <f>N55-N56</f>
        <v>1.2999999999999984E-2</v>
      </c>
      <c r="O57" s="43">
        <f>O55-O56</f>
        <v>2.3464999999999986E-2</v>
      </c>
      <c r="P57" s="43">
        <f t="shared" ref="P57:T57" si="29">P55-P56</f>
        <v>1.2025000000000008E-2</v>
      </c>
      <c r="Q57" s="43">
        <f t="shared" si="29"/>
        <v>2.3652719999999988E-2</v>
      </c>
      <c r="R57" s="43">
        <f t="shared" si="29"/>
        <v>1.2121199999999999E-2</v>
      </c>
      <c r="S57" s="43">
        <f t="shared" si="29"/>
        <v>2.3841941760000013E-2</v>
      </c>
      <c r="T57" s="70">
        <f t="shared" si="29"/>
        <v>1.2218169600000023E-2</v>
      </c>
    </row>
    <row r="58" spans="1:21" s="28" customFormat="1" ht="15.6" x14ac:dyDescent="0.25">
      <c r="A58" s="23" t="s">
        <v>61</v>
      </c>
      <c r="B58" s="69" t="s">
        <v>91</v>
      </c>
      <c r="C58" s="25" t="s">
        <v>87</v>
      </c>
      <c r="D58" s="43"/>
      <c r="E58" s="43"/>
      <c r="F58" s="43"/>
      <c r="G58" s="43">
        <v>0.02</v>
      </c>
      <c r="H58" s="43">
        <v>0.02</v>
      </c>
      <c r="I58" s="43">
        <v>3.4000000000000002E-2</v>
      </c>
      <c r="J58" s="43">
        <v>3.3000000000000002E-2</v>
      </c>
      <c r="K58" s="43">
        <v>1.0999999999999999E-2</v>
      </c>
      <c r="L58" s="43">
        <v>8.9999999999999993E-3</v>
      </c>
      <c r="M58" s="43">
        <v>1.7000000000000001E-2</v>
      </c>
      <c r="N58" s="71">
        <v>0.02</v>
      </c>
      <c r="O58" s="71">
        <v>0.03</v>
      </c>
      <c r="P58" s="71">
        <v>1.4999999999999999E-2</v>
      </c>
      <c r="Q58" s="71">
        <f>O58*1.02</f>
        <v>3.0599999999999999E-2</v>
      </c>
      <c r="R58" s="71">
        <v>2.8000000000000001E-2</v>
      </c>
      <c r="S58" s="71">
        <v>3.7999999999999999E-2</v>
      </c>
      <c r="T58" s="72">
        <v>2.8000000000000001E-2</v>
      </c>
    </row>
    <row r="59" spans="1:21" s="28" customFormat="1" ht="15.6" x14ac:dyDescent="0.25">
      <c r="A59" s="53" t="s">
        <v>92</v>
      </c>
      <c r="B59" s="65" t="s">
        <v>93</v>
      </c>
      <c r="C59" s="25"/>
      <c r="D59" s="66">
        <f t="shared" ref="D59:F59" si="30">D60+D61</f>
        <v>3.3200000000000003</v>
      </c>
      <c r="E59" s="66">
        <f t="shared" si="30"/>
        <v>3.3140000000000001</v>
      </c>
      <c r="F59" s="66">
        <f t="shared" si="30"/>
        <v>3.319</v>
      </c>
      <c r="G59" s="66"/>
      <c r="H59" s="66"/>
      <c r="I59" s="66"/>
      <c r="J59" s="66"/>
      <c r="K59" s="66"/>
      <c r="L59" s="66"/>
      <c r="M59" s="66"/>
      <c r="N59" s="67"/>
      <c r="O59" s="67"/>
      <c r="P59" s="67"/>
      <c r="Q59" s="73"/>
      <c r="R59" s="73"/>
      <c r="S59" s="73"/>
      <c r="T59" s="74"/>
    </row>
    <row r="60" spans="1:21" s="28" customFormat="1" ht="15.6" x14ac:dyDescent="0.25">
      <c r="A60" s="23" t="s">
        <v>25</v>
      </c>
      <c r="B60" s="69" t="s">
        <v>94</v>
      </c>
      <c r="C60" s="25" t="s">
        <v>87</v>
      </c>
      <c r="D60" s="43">
        <v>3.2440000000000002</v>
      </c>
      <c r="E60" s="43">
        <v>3.2690000000000001</v>
      </c>
      <c r="F60" s="43">
        <v>3.274</v>
      </c>
      <c r="G60" s="43">
        <v>3.1869999999999998</v>
      </c>
      <c r="H60" s="43">
        <v>3.274</v>
      </c>
      <c r="I60" s="43">
        <v>3.1269999999999998</v>
      </c>
      <c r="J60" s="71">
        <v>2.21</v>
      </c>
      <c r="K60" s="71">
        <v>2.2629999999999999</v>
      </c>
      <c r="L60" s="71">
        <v>1.7869999999999999</v>
      </c>
      <c r="M60" s="71">
        <v>1.7430000000000001</v>
      </c>
      <c r="N60" s="71">
        <v>1.7430000000000001</v>
      </c>
      <c r="O60" s="71">
        <f>N60*1.005</f>
        <v>1.7517149999999999</v>
      </c>
      <c r="P60" s="71">
        <f>N60*1</f>
        <v>1.7430000000000001</v>
      </c>
      <c r="Q60" s="71">
        <f>O60*1.003</f>
        <v>1.7569701449999997</v>
      </c>
      <c r="R60" s="71">
        <f>P60*1</f>
        <v>1.7430000000000001</v>
      </c>
      <c r="S60" s="71">
        <f>Q60*1.005</f>
        <v>1.7657549957249996</v>
      </c>
      <c r="T60" s="72">
        <f>R60*1.001</f>
        <v>1.7447429999999999</v>
      </c>
    </row>
    <row r="61" spans="1:21" s="28" customFormat="1" ht="31.2" x14ac:dyDescent="0.25">
      <c r="A61" s="23" t="s">
        <v>49</v>
      </c>
      <c r="B61" s="69" t="s">
        <v>95</v>
      </c>
      <c r="C61" s="25" t="s">
        <v>87</v>
      </c>
      <c r="D61" s="43">
        <v>7.5999999999999998E-2</v>
      </c>
      <c r="E61" s="43">
        <v>4.4999999999999998E-2</v>
      </c>
      <c r="F61" s="43">
        <v>4.4999999999999998E-2</v>
      </c>
      <c r="G61" s="43">
        <v>2.5999999999999999E-2</v>
      </c>
      <c r="H61" s="43">
        <v>0.03</v>
      </c>
      <c r="I61" s="43">
        <v>2.5999999999999999E-2</v>
      </c>
      <c r="J61" s="43">
        <v>2.3E-2</v>
      </c>
      <c r="K61" s="43">
        <v>1.7999999999999999E-2</v>
      </c>
      <c r="L61" s="43">
        <v>7.3999999999999996E-2</v>
      </c>
      <c r="M61" s="43">
        <v>2.3E-2</v>
      </c>
      <c r="N61" s="71">
        <v>1.7000000000000001E-2</v>
      </c>
      <c r="O61" s="71">
        <f>N61*102%</f>
        <v>1.7340000000000001E-2</v>
      </c>
      <c r="P61" s="71">
        <f>N61*104.6%</f>
        <v>1.7782000000000003E-2</v>
      </c>
      <c r="Q61" s="71">
        <f>O61*1.003</f>
        <v>1.7392020000000001E-2</v>
      </c>
      <c r="R61" s="71">
        <f>P61*1</f>
        <v>1.7782000000000003E-2</v>
      </c>
      <c r="S61" s="71">
        <f>Q61*1.005</f>
        <v>1.7478980099999999E-2</v>
      </c>
      <c r="T61" s="72">
        <f>R61*1.001</f>
        <v>1.7799782E-2</v>
      </c>
    </row>
    <row r="62" spans="1:21" s="28" customFormat="1" ht="15.6" x14ac:dyDescent="0.25">
      <c r="A62" s="23" t="s">
        <v>56</v>
      </c>
      <c r="B62" s="69" t="s">
        <v>96</v>
      </c>
      <c r="C62" s="25" t="s">
        <v>97</v>
      </c>
      <c r="D62" s="43"/>
      <c r="E62" s="43"/>
      <c r="F62" s="43"/>
      <c r="G62" s="43">
        <v>1440.23</v>
      </c>
      <c r="H62" s="43">
        <v>1495.85</v>
      </c>
      <c r="I62" s="43">
        <v>1741.2260000000001</v>
      </c>
      <c r="J62" s="43">
        <v>2002.41</v>
      </c>
      <c r="K62" s="43">
        <v>2031.431</v>
      </c>
      <c r="L62" s="71">
        <v>1950.0329999999999</v>
      </c>
      <c r="M62" s="71">
        <v>2109.1550000000002</v>
      </c>
      <c r="N62" s="71">
        <v>2193.5210000000002</v>
      </c>
      <c r="O62" s="71">
        <f>N62*103%</f>
        <v>2259.32663</v>
      </c>
      <c r="P62" s="71">
        <f>N62*103%</f>
        <v>2259.32663</v>
      </c>
      <c r="Q62" s="71">
        <f>O62*103.3%</f>
        <v>2333.8844087899997</v>
      </c>
      <c r="R62" s="71">
        <f>P62*103.7%</f>
        <v>2342.9217153099999</v>
      </c>
      <c r="S62" s="71">
        <f>Q62*103.7%</f>
        <v>2420.2381319152296</v>
      </c>
      <c r="T62" s="72">
        <f>R62*102%</f>
        <v>2389.7801496162001</v>
      </c>
    </row>
    <row r="63" spans="1:21" s="28" customFormat="1" ht="15.6" x14ac:dyDescent="0.25">
      <c r="A63" s="23" t="s">
        <v>59</v>
      </c>
      <c r="B63" s="69" t="s">
        <v>98</v>
      </c>
      <c r="C63" s="25" t="s">
        <v>97</v>
      </c>
      <c r="D63" s="43"/>
      <c r="E63" s="43"/>
      <c r="F63" s="43"/>
      <c r="G63" s="43"/>
      <c r="H63" s="43"/>
      <c r="I63" s="43"/>
      <c r="J63" s="43">
        <v>1413.8340000000001</v>
      </c>
      <c r="K63" s="43">
        <v>1500.8579999999999</v>
      </c>
      <c r="L63" s="43">
        <v>1233.2329999999999</v>
      </c>
      <c r="M63" s="43">
        <v>1331.8920000000001</v>
      </c>
      <c r="N63" s="43">
        <v>1385.1679999999999</v>
      </c>
      <c r="O63" s="71">
        <f>N63*103%</f>
        <v>1426.7230399999999</v>
      </c>
      <c r="P63" s="71">
        <f>N63*103%</f>
        <v>1426.7230399999999</v>
      </c>
      <c r="Q63" s="71">
        <f>O63*103.3%</f>
        <v>1473.8049003199997</v>
      </c>
      <c r="R63" s="71">
        <f>P63*103.7%</f>
        <v>1479.5117924799997</v>
      </c>
      <c r="S63" s="71">
        <f>Q63*103.7%</f>
        <v>1528.3356816318396</v>
      </c>
      <c r="T63" s="72">
        <f>R63*102%</f>
        <v>1509.1020283295998</v>
      </c>
    </row>
    <row r="64" spans="1:21" s="28" customFormat="1" ht="15.6" x14ac:dyDescent="0.25">
      <c r="A64" s="23" t="s">
        <v>61</v>
      </c>
      <c r="B64" s="69" t="s">
        <v>99</v>
      </c>
      <c r="C64" s="25" t="s">
        <v>100</v>
      </c>
      <c r="D64" s="43"/>
      <c r="E64" s="43"/>
      <c r="F64" s="43"/>
      <c r="G64" s="43">
        <v>37.658999999999999</v>
      </c>
      <c r="H64" s="43">
        <v>38.073999999999998</v>
      </c>
      <c r="I64" s="43">
        <v>46.402999999999999</v>
      </c>
      <c r="J64" s="43">
        <v>53.311999999999998</v>
      </c>
      <c r="K64" s="43">
        <f>K63/K60/12</f>
        <v>55.268007070260715</v>
      </c>
      <c r="L64" s="43">
        <v>57.526000000000003</v>
      </c>
      <c r="M64" s="43">
        <v>62.499000000000002</v>
      </c>
      <c r="N64" s="71">
        <f>N63/N60/12</f>
        <v>66.225282080703764</v>
      </c>
      <c r="O64" s="71">
        <f>O63/O60/12</f>
        <v>67.872677157338188</v>
      </c>
      <c r="P64" s="71">
        <f>P63/P60/12</f>
        <v>68.212040543124871</v>
      </c>
      <c r="Q64" s="71">
        <f t="shared" ref="Q64:T64" si="31">Q63/Q60/12</f>
        <v>69.902767201924576</v>
      </c>
      <c r="R64" s="71">
        <f t="shared" si="31"/>
        <v>70.735886043220475</v>
      </c>
      <c r="S64" s="71">
        <f t="shared" si="31"/>
        <v>72.128526953627642</v>
      </c>
      <c r="T64" s="72">
        <f t="shared" si="31"/>
        <v>72.078525238846055</v>
      </c>
    </row>
    <row r="65" spans="1:20" s="28" customFormat="1" ht="15.6" x14ac:dyDescent="0.25">
      <c r="A65" s="53" t="s">
        <v>101</v>
      </c>
      <c r="B65" s="75" t="s">
        <v>102</v>
      </c>
      <c r="C65" s="76"/>
      <c r="D65" s="43"/>
      <c r="E65" s="43"/>
      <c r="F65" s="43"/>
      <c r="G65" s="43"/>
      <c r="H65" s="43"/>
      <c r="I65" s="43"/>
      <c r="J65" s="43">
        <v>53.311999999999998</v>
      </c>
      <c r="K65" s="43">
        <v>55.268000000000001</v>
      </c>
      <c r="L65" s="43"/>
      <c r="M65" s="43"/>
      <c r="N65" s="44"/>
      <c r="O65" s="44"/>
      <c r="P65" s="44"/>
      <c r="Q65" s="44"/>
      <c r="R65" s="44"/>
      <c r="S65" s="44"/>
      <c r="T65" s="45"/>
    </row>
    <row r="66" spans="1:20" s="28" customFormat="1" ht="15.6" x14ac:dyDescent="0.25">
      <c r="A66" s="78" t="s">
        <v>25</v>
      </c>
      <c r="B66" s="32" t="s">
        <v>103</v>
      </c>
      <c r="C66" s="79" t="s">
        <v>104</v>
      </c>
      <c r="D66" s="43"/>
      <c r="E66" s="43"/>
      <c r="F66" s="43"/>
      <c r="G66" s="43"/>
      <c r="H66" s="43"/>
      <c r="I66" s="43">
        <f>I67+I75</f>
        <v>130.608</v>
      </c>
      <c r="J66" s="43">
        <f t="shared" ref="J66:Q66" si="32">J67+J75</f>
        <v>128.39699999999999</v>
      </c>
      <c r="K66" s="71">
        <f t="shared" si="32"/>
        <v>119.50700000000001</v>
      </c>
      <c r="L66" s="71">
        <f t="shared" si="32"/>
        <v>130.50700000000001</v>
      </c>
      <c r="M66" s="71">
        <f t="shared" ref="M66" si="33">M67+M75</f>
        <v>119.31</v>
      </c>
      <c r="N66" s="71">
        <f t="shared" si="32"/>
        <v>128.94499999999999</v>
      </c>
      <c r="O66" s="71">
        <f t="shared" si="32"/>
        <v>75.501000000000005</v>
      </c>
      <c r="P66" s="71">
        <f t="shared" ref="P66" si="34">P67+P75</f>
        <v>75.501000000000005</v>
      </c>
      <c r="Q66" s="71">
        <f t="shared" si="32"/>
        <v>80.519000000000005</v>
      </c>
      <c r="R66" s="71">
        <f t="shared" ref="R66" si="35">R67+R75</f>
        <v>80.519000000000005</v>
      </c>
      <c r="S66" s="71">
        <f t="shared" ref="S66:T66" si="36">S67+S75</f>
        <v>80.519000000000005</v>
      </c>
      <c r="T66" s="72">
        <f t="shared" si="36"/>
        <v>80.519000000000005</v>
      </c>
    </row>
    <row r="67" spans="1:20" s="28" customFormat="1" ht="15.6" x14ac:dyDescent="0.25">
      <c r="A67" s="78" t="s">
        <v>28</v>
      </c>
      <c r="B67" s="80" t="s">
        <v>105</v>
      </c>
      <c r="C67" s="79" t="s">
        <v>104</v>
      </c>
      <c r="D67" s="43"/>
      <c r="E67" s="43"/>
      <c r="F67" s="43"/>
      <c r="G67" s="43"/>
      <c r="H67" s="43"/>
      <c r="I67" s="43">
        <f>I68+I74</f>
        <v>39.332999999999998</v>
      </c>
      <c r="J67" s="43">
        <f t="shared" ref="J67:Q67" si="37">J68+J74</f>
        <v>42.494</v>
      </c>
      <c r="K67" s="71">
        <f t="shared" si="37"/>
        <v>44.304000000000002</v>
      </c>
      <c r="L67" s="71">
        <f t="shared" si="37"/>
        <v>40.704999999999998</v>
      </c>
      <c r="M67" s="71">
        <f t="shared" ref="M67" si="38">M68+M74</f>
        <v>46.585999999999999</v>
      </c>
      <c r="N67" s="71">
        <f t="shared" si="37"/>
        <v>39.741999999999997</v>
      </c>
      <c r="O67" s="71">
        <f t="shared" si="37"/>
        <v>38.237000000000002</v>
      </c>
      <c r="P67" s="71">
        <f t="shared" ref="P67" si="39">P68+P74</f>
        <v>38.237000000000002</v>
      </c>
      <c r="Q67" s="71">
        <f t="shared" si="37"/>
        <v>38.725999999999999</v>
      </c>
      <c r="R67" s="71">
        <f t="shared" ref="R67" si="40">R68+R74</f>
        <v>38.725999999999999</v>
      </c>
      <c r="S67" s="71">
        <f t="shared" ref="S67:T67" si="41">S68+S74</f>
        <v>38.725999999999999</v>
      </c>
      <c r="T67" s="72">
        <f t="shared" si="41"/>
        <v>38.725999999999999</v>
      </c>
    </row>
    <row r="68" spans="1:20" s="28" customFormat="1" ht="15.6" x14ac:dyDescent="0.25">
      <c r="A68" s="78" t="s">
        <v>106</v>
      </c>
      <c r="B68" s="32" t="s">
        <v>107</v>
      </c>
      <c r="C68" s="79" t="s">
        <v>104</v>
      </c>
      <c r="D68" s="43"/>
      <c r="E68" s="43"/>
      <c r="F68" s="43"/>
      <c r="G68" s="43"/>
      <c r="H68" s="43"/>
      <c r="I68" s="43">
        <f>SUM(I69:I73)</f>
        <v>30.017999999999997</v>
      </c>
      <c r="J68" s="43">
        <f t="shared" ref="J68:Q68" si="42">SUM(J69:J73)</f>
        <v>32.369</v>
      </c>
      <c r="K68" s="71">
        <f t="shared" si="42"/>
        <v>36.539000000000001</v>
      </c>
      <c r="L68" s="71">
        <f t="shared" si="42"/>
        <v>32.738999999999997</v>
      </c>
      <c r="M68" s="71">
        <f t="shared" ref="M68" si="43">SUM(M69:M73)</f>
        <v>32.241</v>
      </c>
      <c r="N68" s="71">
        <f t="shared" si="42"/>
        <v>32.186</v>
      </c>
      <c r="O68" s="71">
        <f t="shared" si="42"/>
        <v>32.938000000000002</v>
      </c>
      <c r="P68" s="71">
        <f t="shared" ref="P68" si="44">SUM(P69:P73)</f>
        <v>32.938000000000002</v>
      </c>
      <c r="Q68" s="71">
        <f t="shared" si="42"/>
        <v>33.338000000000001</v>
      </c>
      <c r="R68" s="71">
        <f t="shared" ref="R68" si="45">SUM(R69:R73)</f>
        <v>33.338000000000001</v>
      </c>
      <c r="S68" s="71">
        <f t="shared" ref="S68:T68" si="46">SUM(S69:S73)</f>
        <v>33.338000000000001</v>
      </c>
      <c r="T68" s="72">
        <f t="shared" si="46"/>
        <v>33.338000000000001</v>
      </c>
    </row>
    <row r="69" spans="1:20" s="28" customFormat="1" ht="15.6" x14ac:dyDescent="0.25">
      <c r="A69" s="78"/>
      <c r="B69" s="81" t="s">
        <v>108</v>
      </c>
      <c r="C69" s="79" t="s">
        <v>104</v>
      </c>
      <c r="D69" s="43"/>
      <c r="E69" s="43"/>
      <c r="F69" s="43"/>
      <c r="G69" s="43"/>
      <c r="H69" s="43"/>
      <c r="I69" s="43">
        <v>22.670999999999999</v>
      </c>
      <c r="J69" s="43">
        <v>25.16</v>
      </c>
      <c r="K69" s="71">
        <v>29.074000000000002</v>
      </c>
      <c r="L69" s="71">
        <v>25.425999999999998</v>
      </c>
      <c r="M69" s="71">
        <v>23.117999999999999</v>
      </c>
      <c r="N69" s="71">
        <v>24.5</v>
      </c>
      <c r="O69" s="71">
        <v>25.3</v>
      </c>
      <c r="P69" s="71">
        <v>25.3</v>
      </c>
      <c r="Q69" s="71">
        <v>25.6</v>
      </c>
      <c r="R69" s="71">
        <v>25.6</v>
      </c>
      <c r="S69" s="71">
        <v>25.6</v>
      </c>
      <c r="T69" s="72">
        <v>25.6</v>
      </c>
    </row>
    <row r="70" spans="1:20" s="28" customFormat="1" ht="15.6" x14ac:dyDescent="0.25">
      <c r="A70" s="78"/>
      <c r="B70" s="81" t="s">
        <v>109</v>
      </c>
      <c r="C70" s="79" t="s">
        <v>104</v>
      </c>
      <c r="D70" s="43"/>
      <c r="E70" s="43"/>
      <c r="F70" s="43"/>
      <c r="G70" s="43"/>
      <c r="H70" s="43"/>
      <c r="I70" s="43">
        <v>4.6040000000000001</v>
      </c>
      <c r="J70" s="43">
        <v>4.96</v>
      </c>
      <c r="K70" s="71">
        <v>4.5659999999999998</v>
      </c>
      <c r="L70" s="71">
        <v>4.1849999999999996</v>
      </c>
      <c r="M70" s="71">
        <v>4.7889999999999997</v>
      </c>
      <c r="N70" s="71">
        <v>5.016</v>
      </c>
      <c r="O70" s="71">
        <v>4.8879999999999999</v>
      </c>
      <c r="P70" s="71">
        <v>4.8879999999999999</v>
      </c>
      <c r="Q70" s="71">
        <f>O70*100%</f>
        <v>4.8879999999999999</v>
      </c>
      <c r="R70" s="71">
        <f>P70*100%</f>
        <v>4.8879999999999999</v>
      </c>
      <c r="S70" s="71">
        <f>Q70*100%</f>
        <v>4.8879999999999999</v>
      </c>
      <c r="T70" s="72">
        <f>R70*100%</f>
        <v>4.8879999999999999</v>
      </c>
    </row>
    <row r="71" spans="1:20" s="28" customFormat="1" ht="15.6" x14ac:dyDescent="0.25">
      <c r="A71" s="78"/>
      <c r="B71" s="81" t="s">
        <v>110</v>
      </c>
      <c r="C71" s="79" t="s">
        <v>104</v>
      </c>
      <c r="D71" s="43"/>
      <c r="E71" s="43"/>
      <c r="F71" s="43"/>
      <c r="G71" s="43"/>
      <c r="H71" s="43"/>
      <c r="I71" s="43">
        <v>0.755</v>
      </c>
      <c r="J71" s="43">
        <v>0.89700000000000002</v>
      </c>
      <c r="K71" s="71">
        <v>1.3129999999999999</v>
      </c>
      <c r="L71" s="71">
        <v>1.5329999999999999</v>
      </c>
      <c r="M71" s="71">
        <v>2.3260000000000001</v>
      </c>
      <c r="N71" s="71">
        <v>1.25</v>
      </c>
      <c r="O71" s="71">
        <v>1.3</v>
      </c>
      <c r="P71" s="71">
        <v>1.3</v>
      </c>
      <c r="Q71" s="71">
        <v>1.35</v>
      </c>
      <c r="R71" s="71">
        <v>1.35</v>
      </c>
      <c r="S71" s="71">
        <v>1.35</v>
      </c>
      <c r="T71" s="72">
        <v>1.35</v>
      </c>
    </row>
    <row r="72" spans="1:20" s="28" customFormat="1" ht="15.6" x14ac:dyDescent="0.25">
      <c r="A72" s="78"/>
      <c r="B72" s="81" t="s">
        <v>111</v>
      </c>
      <c r="C72" s="79" t="s">
        <v>104</v>
      </c>
      <c r="D72" s="43"/>
      <c r="E72" s="43"/>
      <c r="F72" s="43"/>
      <c r="G72" s="43"/>
      <c r="H72" s="43"/>
      <c r="I72" s="43">
        <v>0</v>
      </c>
      <c r="J72" s="43">
        <v>0</v>
      </c>
      <c r="K72" s="71">
        <v>0</v>
      </c>
      <c r="L72" s="71">
        <v>0.20799999999999999</v>
      </c>
      <c r="M72" s="71">
        <v>0.22900000000000001</v>
      </c>
      <c r="N72" s="71">
        <v>0.2</v>
      </c>
      <c r="O72" s="71">
        <v>0.2</v>
      </c>
      <c r="P72" s="71">
        <v>0.2</v>
      </c>
      <c r="Q72" s="71">
        <v>0.2</v>
      </c>
      <c r="R72" s="71">
        <v>0.2</v>
      </c>
      <c r="S72" s="71">
        <v>0.2</v>
      </c>
      <c r="T72" s="72">
        <v>0.2</v>
      </c>
    </row>
    <row r="73" spans="1:20" s="28" customFormat="1" ht="15.6" x14ac:dyDescent="0.25">
      <c r="A73" s="78"/>
      <c r="B73" s="81" t="s">
        <v>112</v>
      </c>
      <c r="C73" s="79" t="s">
        <v>104</v>
      </c>
      <c r="D73" s="43"/>
      <c r="E73" s="43"/>
      <c r="F73" s="43"/>
      <c r="G73" s="43"/>
      <c r="H73" s="43"/>
      <c r="I73" s="43">
        <v>1.988</v>
      </c>
      <c r="J73" s="43">
        <v>1.3520000000000001</v>
      </c>
      <c r="K73" s="71">
        <v>1.5860000000000001</v>
      </c>
      <c r="L73" s="71">
        <v>1.387</v>
      </c>
      <c r="M73" s="71">
        <v>1.7789999999999999</v>
      </c>
      <c r="N73" s="71">
        <v>1.22</v>
      </c>
      <c r="O73" s="71">
        <v>1.25</v>
      </c>
      <c r="P73" s="71">
        <v>1.25</v>
      </c>
      <c r="Q73" s="71">
        <v>1.3</v>
      </c>
      <c r="R73" s="71">
        <v>1.3</v>
      </c>
      <c r="S73" s="71">
        <v>1.3</v>
      </c>
      <c r="T73" s="72">
        <v>1.3</v>
      </c>
    </row>
    <row r="74" spans="1:20" s="28" customFormat="1" ht="15.6" x14ac:dyDescent="0.25">
      <c r="A74" s="78" t="s">
        <v>113</v>
      </c>
      <c r="B74" s="32" t="s">
        <v>114</v>
      </c>
      <c r="C74" s="79" t="s">
        <v>104</v>
      </c>
      <c r="D74" s="43"/>
      <c r="E74" s="43"/>
      <c r="F74" s="43"/>
      <c r="G74" s="43"/>
      <c r="H74" s="43"/>
      <c r="I74" s="43">
        <v>9.3149999999999995</v>
      </c>
      <c r="J74" s="43">
        <v>10.125</v>
      </c>
      <c r="K74" s="71">
        <v>7.7649999999999997</v>
      </c>
      <c r="L74" s="71">
        <v>7.9660000000000002</v>
      </c>
      <c r="M74" s="71">
        <v>14.345000000000001</v>
      </c>
      <c r="N74" s="71">
        <f>7.26+0.207+0.084+0.005</f>
        <v>7.5559999999999992</v>
      </c>
      <c r="O74" s="71">
        <v>5.2990000000000004</v>
      </c>
      <c r="P74" s="71">
        <v>5.2990000000000004</v>
      </c>
      <c r="Q74" s="71">
        <v>5.3879999999999999</v>
      </c>
      <c r="R74" s="71">
        <v>5.3879999999999999</v>
      </c>
      <c r="S74" s="71">
        <v>5.3879999999999999</v>
      </c>
      <c r="T74" s="72">
        <v>5.3879999999999999</v>
      </c>
    </row>
    <row r="75" spans="1:20" s="28" customFormat="1" ht="15.6" x14ac:dyDescent="0.25">
      <c r="A75" s="78" t="s">
        <v>30</v>
      </c>
      <c r="B75" s="80" t="s">
        <v>115</v>
      </c>
      <c r="C75" s="79" t="s">
        <v>104</v>
      </c>
      <c r="D75" s="43"/>
      <c r="E75" s="43"/>
      <c r="F75" s="43"/>
      <c r="G75" s="43"/>
      <c r="H75" s="43"/>
      <c r="I75" s="43">
        <f t="shared" ref="I75:Q75" si="47">SUM(I76:I78)</f>
        <v>91.275000000000006</v>
      </c>
      <c r="J75" s="43">
        <f t="shared" si="47"/>
        <v>85.903000000000006</v>
      </c>
      <c r="K75" s="71">
        <f t="shared" ref="K75:N75" si="48">SUM(K76:K78)</f>
        <v>75.203000000000003</v>
      </c>
      <c r="L75" s="71">
        <f>SUM(L76:L78)+0.126</f>
        <v>89.802000000000007</v>
      </c>
      <c r="M75" s="71">
        <f t="shared" si="48"/>
        <v>72.724000000000004</v>
      </c>
      <c r="N75" s="71">
        <f t="shared" si="48"/>
        <v>89.203000000000003</v>
      </c>
      <c r="O75" s="71">
        <f t="shared" si="47"/>
        <v>37.263999999999996</v>
      </c>
      <c r="P75" s="71">
        <f t="shared" ref="P75" si="49">SUM(P76:P78)</f>
        <v>37.263999999999996</v>
      </c>
      <c r="Q75" s="71">
        <f t="shared" si="47"/>
        <v>41.793000000000006</v>
      </c>
      <c r="R75" s="71">
        <f t="shared" ref="R75" si="50">SUM(R76:R78)</f>
        <v>41.793000000000006</v>
      </c>
      <c r="S75" s="71">
        <f t="shared" ref="S75:T75" si="51">SUM(S76:S78)</f>
        <v>41.793000000000006</v>
      </c>
      <c r="T75" s="72">
        <f t="shared" si="51"/>
        <v>41.793000000000006</v>
      </c>
    </row>
    <row r="76" spans="1:20" s="28" customFormat="1" ht="15.6" x14ac:dyDescent="0.25">
      <c r="A76" s="78"/>
      <c r="B76" s="81" t="s">
        <v>116</v>
      </c>
      <c r="C76" s="79" t="s">
        <v>104</v>
      </c>
      <c r="D76" s="43"/>
      <c r="E76" s="43"/>
      <c r="F76" s="43"/>
      <c r="G76" s="43"/>
      <c r="H76" s="43"/>
      <c r="I76" s="43">
        <v>11.375999999999999</v>
      </c>
      <c r="J76" s="43">
        <v>18.137</v>
      </c>
      <c r="K76" s="71">
        <v>20.797999999999998</v>
      </c>
      <c r="L76" s="71">
        <v>32.329000000000001</v>
      </c>
      <c r="M76" s="71">
        <f>58.07+6.88</f>
        <v>64.95</v>
      </c>
      <c r="N76" s="71">
        <v>81.043000000000006</v>
      </c>
      <c r="O76" s="71">
        <v>29.099</v>
      </c>
      <c r="P76" s="71">
        <v>29.099</v>
      </c>
      <c r="Q76" s="71">
        <v>33.524000000000001</v>
      </c>
      <c r="R76" s="71">
        <v>33.524000000000001</v>
      </c>
      <c r="S76" s="71">
        <v>33.524000000000001</v>
      </c>
      <c r="T76" s="72">
        <v>33.524000000000001</v>
      </c>
    </row>
    <row r="77" spans="1:20" s="28" customFormat="1" ht="15.6" x14ac:dyDescent="0.25">
      <c r="A77" s="78"/>
      <c r="B77" s="81" t="s">
        <v>117</v>
      </c>
      <c r="C77" s="79" t="s">
        <v>104</v>
      </c>
      <c r="D77" s="43"/>
      <c r="E77" s="43"/>
      <c r="F77" s="43"/>
      <c r="G77" s="43"/>
      <c r="H77" s="43"/>
      <c r="I77" s="43">
        <v>0.71899999999999997</v>
      </c>
      <c r="J77" s="43">
        <v>0.86399999999999999</v>
      </c>
      <c r="K77" s="71">
        <v>0.63700000000000001</v>
      </c>
      <c r="L77" s="71">
        <v>0.71599999999999997</v>
      </c>
      <c r="M77" s="71">
        <v>0.74299999999999999</v>
      </c>
      <c r="N77" s="71">
        <v>0.61799999999999999</v>
      </c>
      <c r="O77" s="71">
        <v>0.624</v>
      </c>
      <c r="P77" s="71">
        <v>0.624</v>
      </c>
      <c r="Q77" s="71">
        <v>0.64200000000000002</v>
      </c>
      <c r="R77" s="71">
        <v>0.64200000000000002</v>
      </c>
      <c r="S77" s="71">
        <v>0.64200000000000002</v>
      </c>
      <c r="T77" s="72">
        <v>0.64200000000000002</v>
      </c>
    </row>
    <row r="78" spans="1:20" s="28" customFormat="1" ht="15.6" x14ac:dyDescent="0.25">
      <c r="A78" s="78"/>
      <c r="B78" s="81" t="s">
        <v>118</v>
      </c>
      <c r="C78" s="79" t="s">
        <v>104</v>
      </c>
      <c r="D78" s="43"/>
      <c r="E78" s="43"/>
      <c r="F78" s="43"/>
      <c r="G78" s="43"/>
      <c r="H78" s="43"/>
      <c r="I78" s="43">
        <v>79.180000000000007</v>
      </c>
      <c r="J78" s="43">
        <v>66.902000000000001</v>
      </c>
      <c r="K78" s="71">
        <v>53.768000000000001</v>
      </c>
      <c r="L78" s="71">
        <v>56.631</v>
      </c>
      <c r="M78" s="71">
        <v>7.0309999999999997</v>
      </c>
      <c r="N78" s="71">
        <v>7.5419999999999998</v>
      </c>
      <c r="O78" s="71">
        <v>7.5410000000000004</v>
      </c>
      <c r="P78" s="71">
        <v>7.5410000000000004</v>
      </c>
      <c r="Q78" s="71">
        <v>7.6269999999999998</v>
      </c>
      <c r="R78" s="71">
        <v>7.6269999999999998</v>
      </c>
      <c r="S78" s="71">
        <v>7.6269999999999998</v>
      </c>
      <c r="T78" s="72">
        <v>7.6269999999999998</v>
      </c>
    </row>
    <row r="79" spans="1:20" s="28" customFormat="1" ht="31.2" x14ac:dyDescent="0.25">
      <c r="A79" s="78" t="s">
        <v>49</v>
      </c>
      <c r="B79" s="32" t="s">
        <v>119</v>
      </c>
      <c r="C79" s="79" t="s">
        <v>104</v>
      </c>
      <c r="D79" s="43"/>
      <c r="E79" s="43"/>
      <c r="F79" s="43"/>
      <c r="G79" s="43"/>
      <c r="H79" s="43"/>
      <c r="I79" s="43">
        <f>SUM(I80:I89)</f>
        <v>127.63700000000001</v>
      </c>
      <c r="J79" s="43">
        <f t="shared" ref="J79:Q79" si="52">SUM(J80:J89)</f>
        <v>129.256</v>
      </c>
      <c r="K79" s="71">
        <f t="shared" si="52"/>
        <v>122.46000000000001</v>
      </c>
      <c r="L79" s="71">
        <f t="shared" si="52"/>
        <v>130.02799999999999</v>
      </c>
      <c r="M79" s="71">
        <f t="shared" si="52"/>
        <v>119.86700000000002</v>
      </c>
      <c r="N79" s="71">
        <f t="shared" si="52"/>
        <v>131.44600000000003</v>
      </c>
      <c r="O79" s="71">
        <f t="shared" si="52"/>
        <v>75.501000000000005</v>
      </c>
      <c r="P79" s="71">
        <f t="shared" ref="P79" si="53">SUM(P80:P89)</f>
        <v>75.501000000000005</v>
      </c>
      <c r="Q79" s="71">
        <f t="shared" si="52"/>
        <v>80.519000000000005</v>
      </c>
      <c r="R79" s="71">
        <f t="shared" ref="R79" si="54">SUM(R80:R89)</f>
        <v>80.519000000000005</v>
      </c>
      <c r="S79" s="71">
        <f t="shared" ref="S79:T79" si="55">SUM(S80:S89)</f>
        <v>80.519000000000005</v>
      </c>
      <c r="T79" s="72">
        <f t="shared" si="55"/>
        <v>80.519000000000005</v>
      </c>
    </row>
    <row r="80" spans="1:20" s="28" customFormat="1" ht="15.6" x14ac:dyDescent="0.25">
      <c r="A80" s="78"/>
      <c r="B80" s="81" t="s">
        <v>120</v>
      </c>
      <c r="C80" s="79" t="s">
        <v>104</v>
      </c>
      <c r="D80" s="43"/>
      <c r="E80" s="43"/>
      <c r="F80" s="43"/>
      <c r="G80" s="43"/>
      <c r="H80" s="43"/>
      <c r="I80" s="43">
        <v>31.364000000000001</v>
      </c>
      <c r="J80" s="43">
        <v>33.994</v>
      </c>
      <c r="K80" s="71">
        <v>33.368000000000002</v>
      </c>
      <c r="L80" s="71">
        <v>32.505000000000003</v>
      </c>
      <c r="M80" s="71">
        <v>39.548000000000002</v>
      </c>
      <c r="N80" s="71">
        <v>32.695999999999998</v>
      </c>
      <c r="O80" s="71">
        <v>30.867999999999999</v>
      </c>
      <c r="P80" s="71">
        <v>30.867999999999999</v>
      </c>
      <c r="Q80" s="71">
        <v>32.868000000000002</v>
      </c>
      <c r="R80" s="71">
        <v>32.868000000000002</v>
      </c>
      <c r="S80" s="71">
        <v>32.868000000000002</v>
      </c>
      <c r="T80" s="72">
        <v>32.868000000000002</v>
      </c>
    </row>
    <row r="81" spans="1:20" s="28" customFormat="1" ht="15.6" x14ac:dyDescent="0.25">
      <c r="A81" s="78"/>
      <c r="B81" s="81" t="s">
        <v>121</v>
      </c>
      <c r="C81" s="79" t="s">
        <v>104</v>
      </c>
      <c r="D81" s="43"/>
      <c r="E81" s="43"/>
      <c r="F81" s="43"/>
      <c r="G81" s="43"/>
      <c r="H81" s="43"/>
      <c r="I81" s="43">
        <v>0.46400000000000002</v>
      </c>
      <c r="J81" s="43">
        <v>0.72699999999999998</v>
      </c>
      <c r="K81" s="71">
        <v>0.52</v>
      </c>
      <c r="L81" s="71">
        <v>0.60199999999999998</v>
      </c>
      <c r="M81" s="71">
        <v>0.621</v>
      </c>
      <c r="N81" s="71">
        <v>0.505</v>
      </c>
      <c r="O81" s="71">
        <v>0.51100000000000001</v>
      </c>
      <c r="P81" s="71">
        <v>0.51100000000000001</v>
      </c>
      <c r="Q81" s="71">
        <v>0.52900000000000003</v>
      </c>
      <c r="R81" s="71">
        <v>0.52900000000000003</v>
      </c>
      <c r="S81" s="71">
        <v>0.52900000000000003</v>
      </c>
      <c r="T81" s="72">
        <v>0.52900000000000003</v>
      </c>
    </row>
    <row r="82" spans="1:20" s="28" customFormat="1" ht="15.6" x14ac:dyDescent="0.25">
      <c r="A82" s="82"/>
      <c r="B82" s="83" t="s">
        <v>122</v>
      </c>
      <c r="C82" s="84" t="s">
        <v>104</v>
      </c>
      <c r="D82" s="43"/>
      <c r="E82" s="43"/>
      <c r="F82" s="43"/>
      <c r="G82" s="43"/>
      <c r="H82" s="43"/>
      <c r="I82" s="43">
        <v>1.242</v>
      </c>
      <c r="J82" s="43">
        <v>0.94299999999999995</v>
      </c>
      <c r="K82" s="71">
        <v>1.202</v>
      </c>
      <c r="L82" s="71">
        <v>4.056</v>
      </c>
      <c r="M82" s="71">
        <v>1.054</v>
      </c>
      <c r="N82" s="71">
        <v>1.028</v>
      </c>
      <c r="O82" s="71">
        <v>0.90300000000000002</v>
      </c>
      <c r="P82" s="71">
        <v>0.90300000000000002</v>
      </c>
      <c r="Q82" s="71">
        <v>0.90300000000000002</v>
      </c>
      <c r="R82" s="71">
        <v>0.90300000000000002</v>
      </c>
      <c r="S82" s="71">
        <v>0.90300000000000002</v>
      </c>
      <c r="T82" s="72">
        <v>0.90300000000000002</v>
      </c>
    </row>
    <row r="83" spans="1:20" s="28" customFormat="1" ht="15.6" x14ac:dyDescent="0.25">
      <c r="A83" s="78"/>
      <c r="B83" s="81" t="s">
        <v>123</v>
      </c>
      <c r="C83" s="79" t="s">
        <v>104</v>
      </c>
      <c r="D83" s="43"/>
      <c r="E83" s="43"/>
      <c r="F83" s="43"/>
      <c r="G83" s="43"/>
      <c r="H83" s="43"/>
      <c r="I83" s="43">
        <v>9.56</v>
      </c>
      <c r="J83" s="43">
        <v>9.2010000000000005</v>
      </c>
      <c r="K83" s="71">
        <v>10.430999999999999</v>
      </c>
      <c r="L83" s="71">
        <v>7.6790000000000003</v>
      </c>
      <c r="M83" s="71">
        <v>14.413</v>
      </c>
      <c r="N83" s="71">
        <v>12.625</v>
      </c>
      <c r="O83" s="71">
        <v>6.8659999999999997</v>
      </c>
      <c r="P83" s="71">
        <v>6.8659999999999997</v>
      </c>
      <c r="Q83" s="71">
        <v>6.8659999999999997</v>
      </c>
      <c r="R83" s="71">
        <v>6.8659999999999997</v>
      </c>
      <c r="S83" s="71">
        <v>6.8659999999999997</v>
      </c>
      <c r="T83" s="72">
        <v>6.8659999999999997</v>
      </c>
    </row>
    <row r="84" spans="1:20" s="28" customFormat="1" ht="15.6" x14ac:dyDescent="0.25">
      <c r="A84" s="78"/>
      <c r="B84" s="81" t="s">
        <v>124</v>
      </c>
      <c r="C84" s="79" t="s">
        <v>104</v>
      </c>
      <c r="D84" s="43"/>
      <c r="E84" s="43"/>
      <c r="F84" s="43"/>
      <c r="G84" s="43"/>
      <c r="H84" s="43"/>
      <c r="I84" s="43">
        <v>43.795000000000002</v>
      </c>
      <c r="J84" s="43">
        <v>41.646000000000001</v>
      </c>
      <c r="K84" s="71">
        <v>33.779000000000003</v>
      </c>
      <c r="L84" s="71">
        <v>48.308999999999997</v>
      </c>
      <c r="M84" s="71">
        <v>30.132000000000001</v>
      </c>
      <c r="N84" s="71">
        <v>49.094000000000001</v>
      </c>
      <c r="O84" s="71">
        <v>3.484</v>
      </c>
      <c r="P84" s="71">
        <v>3.484</v>
      </c>
      <c r="Q84" s="71">
        <v>6.484</v>
      </c>
      <c r="R84" s="71">
        <v>6.484</v>
      </c>
      <c r="S84" s="71">
        <v>6.484</v>
      </c>
      <c r="T84" s="72">
        <v>6.484</v>
      </c>
    </row>
    <row r="85" spans="1:20" s="28" customFormat="1" ht="15.6" x14ac:dyDescent="0.25">
      <c r="A85" s="78"/>
      <c r="B85" s="81" t="s">
        <v>125</v>
      </c>
      <c r="C85" s="79" t="s">
        <v>104</v>
      </c>
      <c r="D85" s="43"/>
      <c r="E85" s="43"/>
      <c r="F85" s="43"/>
      <c r="G85" s="43"/>
      <c r="H85" s="43"/>
      <c r="I85" s="43"/>
      <c r="J85" s="43">
        <v>2E-3</v>
      </c>
      <c r="K85" s="71">
        <v>0</v>
      </c>
      <c r="L85" s="71">
        <v>2E-3</v>
      </c>
      <c r="M85" s="71">
        <v>0</v>
      </c>
      <c r="N85" s="71">
        <v>0.66</v>
      </c>
      <c r="O85" s="71">
        <v>0</v>
      </c>
      <c r="P85" s="71">
        <v>0</v>
      </c>
      <c r="Q85" s="71">
        <f>O85*100%</f>
        <v>0</v>
      </c>
      <c r="R85" s="71">
        <f>P85*100%</f>
        <v>0</v>
      </c>
      <c r="S85" s="71">
        <f>Q85*100%</f>
        <v>0</v>
      </c>
      <c r="T85" s="72">
        <f>R85*100%</f>
        <v>0</v>
      </c>
    </row>
    <row r="86" spans="1:20" s="28" customFormat="1" ht="15.6" outlineLevel="1" x14ac:dyDescent="0.25">
      <c r="A86" s="78"/>
      <c r="B86" s="81" t="s">
        <v>126</v>
      </c>
      <c r="C86" s="79" t="s">
        <v>104</v>
      </c>
      <c r="D86" s="43"/>
      <c r="E86" s="43"/>
      <c r="F86" s="43"/>
      <c r="G86" s="43"/>
      <c r="H86" s="43"/>
      <c r="I86" s="43">
        <v>0.24199999999999999</v>
      </c>
      <c r="J86" s="43">
        <v>0</v>
      </c>
      <c r="K86" s="71">
        <v>0</v>
      </c>
      <c r="L86" s="71">
        <v>7.0000000000000001E-3</v>
      </c>
      <c r="M86" s="71">
        <v>0</v>
      </c>
      <c r="N86" s="71">
        <v>0</v>
      </c>
      <c r="O86" s="71">
        <v>0</v>
      </c>
      <c r="P86" s="71">
        <v>0</v>
      </c>
      <c r="Q86" s="71">
        <v>0</v>
      </c>
      <c r="R86" s="71">
        <v>0</v>
      </c>
      <c r="S86" s="71">
        <v>0</v>
      </c>
      <c r="T86" s="72">
        <v>0</v>
      </c>
    </row>
    <row r="87" spans="1:20" s="28" customFormat="1" ht="15.6" x14ac:dyDescent="0.25">
      <c r="A87" s="78"/>
      <c r="B87" s="81" t="s">
        <v>127</v>
      </c>
      <c r="C87" s="79" t="s">
        <v>104</v>
      </c>
      <c r="D87" s="43"/>
      <c r="E87" s="43"/>
      <c r="F87" s="43"/>
      <c r="G87" s="43"/>
      <c r="H87" s="43"/>
      <c r="I87" s="43">
        <v>24.741</v>
      </c>
      <c r="J87" s="43">
        <v>26.234999999999999</v>
      </c>
      <c r="K87" s="71">
        <v>27.763999999999999</v>
      </c>
      <c r="L87" s="71">
        <v>22.994</v>
      </c>
      <c r="M87" s="71">
        <v>21.064</v>
      </c>
      <c r="N87" s="71">
        <v>21.62</v>
      </c>
      <c r="O87" s="71">
        <v>21.126999999999999</v>
      </c>
      <c r="P87" s="71">
        <v>21.126999999999999</v>
      </c>
      <c r="Q87" s="71">
        <v>21.126999999999999</v>
      </c>
      <c r="R87" s="71">
        <v>21.126999999999999</v>
      </c>
      <c r="S87" s="71">
        <v>21.126999999999999</v>
      </c>
      <c r="T87" s="72">
        <v>21.126999999999999</v>
      </c>
    </row>
    <row r="88" spans="1:20" s="28" customFormat="1" ht="15.6" x14ac:dyDescent="0.25">
      <c r="A88" s="78"/>
      <c r="B88" s="81" t="s">
        <v>128</v>
      </c>
      <c r="C88" s="79" t="s">
        <v>104</v>
      </c>
      <c r="D88" s="43"/>
      <c r="E88" s="43"/>
      <c r="F88" s="43"/>
      <c r="G88" s="43"/>
      <c r="H88" s="43"/>
      <c r="I88" s="43">
        <v>0</v>
      </c>
      <c r="J88" s="43">
        <v>1.4999999999999999E-2</v>
      </c>
      <c r="K88" s="71">
        <v>0.18</v>
      </c>
      <c r="L88" s="71">
        <v>0.13500000000000001</v>
      </c>
      <c r="M88" s="71">
        <v>0.125</v>
      </c>
      <c r="N88" s="71">
        <v>0.12</v>
      </c>
      <c r="O88" s="71">
        <v>0.12</v>
      </c>
      <c r="P88" s="71">
        <v>0.12</v>
      </c>
      <c r="Q88" s="71">
        <f>O88</f>
        <v>0.12</v>
      </c>
      <c r="R88" s="71">
        <f>P88</f>
        <v>0.12</v>
      </c>
      <c r="S88" s="71">
        <f>Q88</f>
        <v>0.12</v>
      </c>
      <c r="T88" s="72">
        <f>R88</f>
        <v>0.12</v>
      </c>
    </row>
    <row r="89" spans="1:20" s="28" customFormat="1" ht="15.6" x14ac:dyDescent="0.25">
      <c r="A89" s="78"/>
      <c r="B89" s="81" t="s">
        <v>129</v>
      </c>
      <c r="C89" s="79" t="s">
        <v>104</v>
      </c>
      <c r="D89" s="43"/>
      <c r="E89" s="43"/>
      <c r="F89" s="43"/>
      <c r="G89" s="43"/>
      <c r="H89" s="43"/>
      <c r="I89" s="43">
        <v>16.228999999999999</v>
      </c>
      <c r="J89" s="43">
        <v>16.492999999999999</v>
      </c>
      <c r="K89" s="71">
        <v>15.215999999999999</v>
      </c>
      <c r="L89" s="71">
        <v>13.739000000000001</v>
      </c>
      <c r="M89" s="71">
        <v>12.91</v>
      </c>
      <c r="N89" s="71">
        <v>13.098000000000001</v>
      </c>
      <c r="O89" s="71">
        <v>11.622</v>
      </c>
      <c r="P89" s="71">
        <v>11.622</v>
      </c>
      <c r="Q89" s="71">
        <v>11.622</v>
      </c>
      <c r="R89" s="71">
        <v>11.622</v>
      </c>
      <c r="S89" s="71">
        <v>11.622</v>
      </c>
      <c r="T89" s="72">
        <v>11.622</v>
      </c>
    </row>
    <row r="90" spans="1:20" s="28" customFormat="1" ht="31.2" x14ac:dyDescent="0.25">
      <c r="A90" s="78" t="s">
        <v>56</v>
      </c>
      <c r="B90" s="32" t="s">
        <v>130</v>
      </c>
      <c r="C90" s="79" t="s">
        <v>104</v>
      </c>
      <c r="D90" s="43"/>
      <c r="E90" s="43"/>
      <c r="F90" s="43"/>
      <c r="G90" s="43"/>
      <c r="H90" s="43"/>
      <c r="I90" s="43">
        <f t="shared" ref="I90:Q90" si="56">I66-I79</f>
        <v>2.9709999999999894</v>
      </c>
      <c r="J90" s="43">
        <f t="shared" si="56"/>
        <v>-0.85900000000000887</v>
      </c>
      <c r="K90" s="71">
        <f t="shared" si="56"/>
        <v>-2.953000000000003</v>
      </c>
      <c r="L90" s="71">
        <f t="shared" si="56"/>
        <v>0.47900000000001342</v>
      </c>
      <c r="M90" s="71">
        <f t="shared" si="56"/>
        <v>-0.55700000000001637</v>
      </c>
      <c r="N90" s="71">
        <f t="shared" si="56"/>
        <v>-2.5010000000000332</v>
      </c>
      <c r="O90" s="71">
        <f t="shared" si="56"/>
        <v>0</v>
      </c>
      <c r="P90" s="71">
        <f t="shared" ref="P90" si="57">P66-P79</f>
        <v>0</v>
      </c>
      <c r="Q90" s="71">
        <f t="shared" si="56"/>
        <v>0</v>
      </c>
      <c r="R90" s="71">
        <f t="shared" ref="R90" si="58">R66-R79</f>
        <v>0</v>
      </c>
      <c r="S90" s="71">
        <f t="shared" ref="S90:T90" si="59">S66-S79</f>
        <v>0</v>
      </c>
      <c r="T90" s="72">
        <f t="shared" si="59"/>
        <v>0</v>
      </c>
    </row>
    <row r="91" spans="1:20" s="28" customFormat="1" ht="15.6" x14ac:dyDescent="0.25">
      <c r="A91" s="53" t="s">
        <v>131</v>
      </c>
      <c r="B91" s="65" t="s">
        <v>132</v>
      </c>
      <c r="C91" s="25"/>
      <c r="D91" s="85">
        <f>D92+D94+D96</f>
        <v>327617.5</v>
      </c>
      <c r="E91" s="86">
        <f>E92+E94+E96</f>
        <v>348144</v>
      </c>
      <c r="F91" s="85">
        <f>F92+F94+F96</f>
        <v>372600</v>
      </c>
      <c r="G91" s="85">
        <v>393892</v>
      </c>
      <c r="H91" s="85">
        <v>390630</v>
      </c>
      <c r="I91" s="85">
        <f t="shared" ref="I91:T91" si="60">I92+I94+I96</f>
        <v>394641</v>
      </c>
      <c r="J91" s="85">
        <f t="shared" si="60"/>
        <v>420736</v>
      </c>
      <c r="K91" s="87">
        <f t="shared" si="60"/>
        <v>432807</v>
      </c>
      <c r="L91" s="87">
        <f t="shared" si="60"/>
        <v>419915</v>
      </c>
      <c r="M91" s="87">
        <f t="shared" si="60"/>
        <v>424241</v>
      </c>
      <c r="N91" s="87">
        <f t="shared" si="60"/>
        <v>432474.36</v>
      </c>
      <c r="O91" s="85">
        <f t="shared" si="60"/>
        <v>470503.97239999997</v>
      </c>
      <c r="P91" s="85">
        <f t="shared" si="60"/>
        <v>487056.33079999994</v>
      </c>
      <c r="Q91" s="85">
        <f t="shared" si="60"/>
        <v>514781.40685039992</v>
      </c>
      <c r="R91" s="85">
        <f t="shared" si="60"/>
        <v>534860.25974679983</v>
      </c>
      <c r="S91" s="85">
        <f t="shared" si="60"/>
        <v>545687.47344492387</v>
      </c>
      <c r="T91" s="88">
        <f t="shared" si="60"/>
        <v>577857.22136343748</v>
      </c>
    </row>
    <row r="92" spans="1:20" s="28" customFormat="1" ht="62.4" x14ac:dyDescent="0.25">
      <c r="A92" s="23" t="s">
        <v>25</v>
      </c>
      <c r="B92" s="69" t="s">
        <v>133</v>
      </c>
      <c r="C92" s="25" t="s">
        <v>134</v>
      </c>
      <c r="D92" s="26">
        <f>302500*1.047</f>
        <v>316717.5</v>
      </c>
      <c r="E92" s="29">
        <v>334770.7</v>
      </c>
      <c r="F92" s="26">
        <v>357600</v>
      </c>
      <c r="G92" s="26">
        <f>F92*1.057</f>
        <v>377983.19999999995</v>
      </c>
      <c r="H92" s="26">
        <v>374764.79999999999</v>
      </c>
      <c r="I92" s="26">
        <v>377983</v>
      </c>
      <c r="J92" s="26">
        <v>402930</v>
      </c>
      <c r="K92" s="36">
        <v>415018</v>
      </c>
      <c r="L92" s="36">
        <v>402651</v>
      </c>
      <c r="M92" s="36">
        <v>406718</v>
      </c>
      <c r="N92" s="36">
        <f>M92*1.02</f>
        <v>414852.36</v>
      </c>
      <c r="O92" s="26">
        <f>N92*109%</f>
        <v>452189.0724</v>
      </c>
      <c r="P92" s="26">
        <f>N92*113%</f>
        <v>468783.16679999995</v>
      </c>
      <c r="Q92" s="26">
        <f>O92*109.6%</f>
        <v>495599.22335039993</v>
      </c>
      <c r="R92" s="26">
        <f>P92*110.1%</f>
        <v>516130.26664679992</v>
      </c>
      <c r="S92" s="26">
        <f>Q92*106%</f>
        <v>525335.17675142398</v>
      </c>
      <c r="T92" s="27">
        <f>R92*108.2%</f>
        <v>558452.94851183752</v>
      </c>
    </row>
    <row r="93" spans="1:20" s="28" customFormat="1" ht="15.6" x14ac:dyDescent="0.25">
      <c r="A93" s="23" t="s">
        <v>49</v>
      </c>
      <c r="B93" s="69" t="s">
        <v>135</v>
      </c>
      <c r="C93" s="25" t="s">
        <v>136</v>
      </c>
      <c r="D93" s="26">
        <f>SUM(D92/302500)*100</f>
        <v>104.69999999999999</v>
      </c>
      <c r="E93" s="29">
        <f>SUM(E92/D92)*100</f>
        <v>105.70009551098376</v>
      </c>
      <c r="F93" s="29">
        <f>SUM(F92/E92)*100</f>
        <v>106.81938413367718</v>
      </c>
      <c r="G93" s="29">
        <f>SUM(G92/F92)*100</f>
        <v>105.69999999999999</v>
      </c>
      <c r="H93" s="29">
        <f>SUM(H92/G92)*100</f>
        <v>99.148533585619688</v>
      </c>
      <c r="I93" s="29">
        <f>SUM(I92/H92*100)</f>
        <v>100.85872525914921</v>
      </c>
      <c r="J93" s="29">
        <f>SUM(J92/I92*100)</f>
        <v>106.60003227658387</v>
      </c>
      <c r="K93" s="29">
        <f>K92/J92*100</f>
        <v>103.00002481820663</v>
      </c>
      <c r="L93" s="29">
        <f>L92/K92*100</f>
        <v>97.020129247406146</v>
      </c>
      <c r="M93" s="29">
        <f>M92/L92*100</f>
        <v>101.01005585482217</v>
      </c>
      <c r="N93" s="29">
        <f>N92/M92*100</f>
        <v>102</v>
      </c>
      <c r="O93" s="29">
        <f>O92/N92*100</f>
        <v>109.00000000000001</v>
      </c>
      <c r="P93" s="29">
        <f>P92/N92*100</f>
        <v>112.99999999999999</v>
      </c>
      <c r="Q93" s="29">
        <f>Q92/O92*100</f>
        <v>109.59999999999998</v>
      </c>
      <c r="R93" s="29">
        <f>R92/P92*100</f>
        <v>110.1</v>
      </c>
      <c r="S93" s="29">
        <f>S92/Q92*100</f>
        <v>106</v>
      </c>
      <c r="T93" s="47">
        <f>T92/R92*100</f>
        <v>108.2</v>
      </c>
    </row>
    <row r="94" spans="1:20" s="28" customFormat="1" ht="62.4" x14ac:dyDescent="0.25">
      <c r="A94" s="23" t="s">
        <v>56</v>
      </c>
      <c r="B94" s="69" t="s">
        <v>137</v>
      </c>
      <c r="C94" s="25" t="s">
        <v>134</v>
      </c>
      <c r="D94" s="26">
        <v>5300</v>
      </c>
      <c r="E94" s="29">
        <v>6133.3</v>
      </c>
      <c r="F94" s="26">
        <v>6800</v>
      </c>
      <c r="G94" s="26">
        <f>F94*1.048</f>
        <v>7126.4000000000005</v>
      </c>
      <c r="H94" s="26">
        <v>7099.2</v>
      </c>
      <c r="I94" s="26">
        <v>7454</v>
      </c>
      <c r="J94" s="26">
        <v>8050</v>
      </c>
      <c r="K94" s="26">
        <v>8131</v>
      </c>
      <c r="L94" s="26">
        <v>8050</v>
      </c>
      <c r="M94" s="26">
        <v>8171</v>
      </c>
      <c r="N94" s="26">
        <v>8212</v>
      </c>
      <c r="O94" s="26">
        <f>N94*105%</f>
        <v>8622.6</v>
      </c>
      <c r="P94" s="26">
        <f>N94*102.2%</f>
        <v>8392.6640000000007</v>
      </c>
      <c r="Q94" s="26">
        <f>O94*105%</f>
        <v>9053.7300000000014</v>
      </c>
      <c r="R94" s="26">
        <f>P94*102.5%</f>
        <v>8602.4806000000008</v>
      </c>
      <c r="S94" s="26">
        <f>Q94*106.1%</f>
        <v>9606.0075300000008</v>
      </c>
      <c r="T94" s="27">
        <f>R94*103.6%</f>
        <v>8912.1699016000002</v>
      </c>
    </row>
    <row r="95" spans="1:20" s="28" customFormat="1" ht="15.6" x14ac:dyDescent="0.25">
      <c r="A95" s="23" t="s">
        <v>59</v>
      </c>
      <c r="B95" s="69" t="s">
        <v>135</v>
      </c>
      <c r="C95" s="25" t="s">
        <v>136</v>
      </c>
      <c r="D95" s="26">
        <f>D94/4100*100</f>
        <v>129.26829268292684</v>
      </c>
      <c r="E95" s="29">
        <f t="shared" ref="E95:P95" si="61">E94/D94*100</f>
        <v>115.72264150943397</v>
      </c>
      <c r="F95" s="29">
        <f t="shared" si="61"/>
        <v>110.87016777265093</v>
      </c>
      <c r="G95" s="29">
        <f t="shared" si="61"/>
        <v>104.80000000000001</v>
      </c>
      <c r="H95" s="29">
        <f t="shared" si="61"/>
        <v>99.618320610687022</v>
      </c>
      <c r="I95" s="29">
        <f t="shared" si="61"/>
        <v>104.99774622492674</v>
      </c>
      <c r="J95" s="29">
        <f t="shared" si="61"/>
        <v>107.99570700295145</v>
      </c>
      <c r="K95" s="29">
        <f>K94/J94*100</f>
        <v>101.00621118012423</v>
      </c>
      <c r="L95" s="29">
        <f>L94/K94*100</f>
        <v>99.003812569179686</v>
      </c>
      <c r="M95" s="29">
        <f>M94/L94*100</f>
        <v>101.50310559006211</v>
      </c>
      <c r="N95" s="29">
        <f>N94/M94*100</f>
        <v>100.50177456859626</v>
      </c>
      <c r="O95" s="29">
        <f t="shared" si="61"/>
        <v>105</v>
      </c>
      <c r="P95" s="29">
        <f t="shared" si="61"/>
        <v>97.333333333333343</v>
      </c>
      <c r="Q95" s="29">
        <f>Q94/O94*100</f>
        <v>105</v>
      </c>
      <c r="R95" s="29">
        <f>R94/P94*100</f>
        <v>102.49999999999999</v>
      </c>
      <c r="S95" s="29">
        <f>S94/Q94*100</f>
        <v>106.1</v>
      </c>
      <c r="T95" s="47">
        <f>T94/R94*100</f>
        <v>103.60000000000001</v>
      </c>
    </row>
    <row r="96" spans="1:20" s="28" customFormat="1" ht="62.4" x14ac:dyDescent="0.25">
      <c r="A96" s="23" t="s">
        <v>61</v>
      </c>
      <c r="B96" s="69" t="s">
        <v>138</v>
      </c>
      <c r="C96" s="25" t="s">
        <v>134</v>
      </c>
      <c r="D96" s="26">
        <v>5600</v>
      </c>
      <c r="E96" s="26">
        <v>7240</v>
      </c>
      <c r="F96" s="26">
        <v>8200</v>
      </c>
      <c r="G96" s="26">
        <f>F96*1.071</f>
        <v>8782.1999999999989</v>
      </c>
      <c r="H96" s="26">
        <v>8765.7999999999993</v>
      </c>
      <c r="I96" s="26">
        <v>9204</v>
      </c>
      <c r="J96" s="26">
        <v>9756</v>
      </c>
      <c r="K96" s="26">
        <v>9658</v>
      </c>
      <c r="L96" s="26">
        <v>9214</v>
      </c>
      <c r="M96" s="26">
        <v>9352</v>
      </c>
      <c r="N96" s="26">
        <v>9410</v>
      </c>
      <c r="O96" s="26">
        <f>N96*103%</f>
        <v>9692.3000000000011</v>
      </c>
      <c r="P96" s="26">
        <f>N96*105%</f>
        <v>9880.5</v>
      </c>
      <c r="Q96" s="26">
        <f>O96*104.5%</f>
        <v>10128.4535</v>
      </c>
      <c r="R96" s="26">
        <f>P96*102.5%</f>
        <v>10127.512499999999</v>
      </c>
      <c r="S96" s="26">
        <f>Q96*106.1%</f>
        <v>10746.2891635</v>
      </c>
      <c r="T96" s="27">
        <f>R96*103.6%</f>
        <v>10492.102949999999</v>
      </c>
    </row>
    <row r="97" spans="1:20" s="28" customFormat="1" ht="16.2" thickBot="1" x14ac:dyDescent="0.3">
      <c r="A97" s="89" t="s">
        <v>63</v>
      </c>
      <c r="B97" s="90" t="s">
        <v>135</v>
      </c>
      <c r="C97" s="91" t="s">
        <v>136</v>
      </c>
      <c r="D97" s="92">
        <f>D96/5200*100</f>
        <v>107.69230769230769</v>
      </c>
      <c r="E97" s="93">
        <f>E96/D96*100</f>
        <v>129.28571428571431</v>
      </c>
      <c r="F97" s="93">
        <f>F96/E96*100</f>
        <v>113.25966850828731</v>
      </c>
      <c r="G97" s="93">
        <f>G96/F96*100</f>
        <v>107.1</v>
      </c>
      <c r="H97" s="93">
        <v>99.813258636788049</v>
      </c>
      <c r="I97" s="93">
        <f t="shared" ref="I97:P97" si="62">I96/H96*100</f>
        <v>104.99897328252985</v>
      </c>
      <c r="J97" s="93">
        <f t="shared" si="62"/>
        <v>105.99739243807041</v>
      </c>
      <c r="K97" s="93">
        <f t="shared" si="62"/>
        <v>98.995489954899554</v>
      </c>
      <c r="L97" s="93">
        <f t="shared" si="62"/>
        <v>95.402774901635951</v>
      </c>
      <c r="M97" s="93">
        <f>M96/L96*100</f>
        <v>101.49772085956155</v>
      </c>
      <c r="N97" s="93">
        <f>N96/M96*100</f>
        <v>100.62018819503848</v>
      </c>
      <c r="O97" s="93">
        <f t="shared" si="62"/>
        <v>103</v>
      </c>
      <c r="P97" s="93">
        <f t="shared" si="62"/>
        <v>101.94174757281553</v>
      </c>
      <c r="Q97" s="93">
        <f>Q96/O96*100</f>
        <v>104.5</v>
      </c>
      <c r="R97" s="93">
        <f>R96/P96*100</f>
        <v>102.49999999999999</v>
      </c>
      <c r="S97" s="93">
        <f>S96/Q96*100</f>
        <v>106.1</v>
      </c>
      <c r="T97" s="94">
        <f>T96/R96*100</f>
        <v>103.60000000000001</v>
      </c>
    </row>
    <row r="98" spans="1:20" s="2" customFormat="1" x14ac:dyDescent="0.25">
      <c r="A98" s="95"/>
      <c r="B98" s="96"/>
      <c r="C98" s="96"/>
      <c r="D98" s="97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4"/>
      <c r="P98" s="4"/>
    </row>
    <row r="99" spans="1:20" s="2" customFormat="1" x14ac:dyDescent="0.25">
      <c r="A99" s="1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  <row r="100" spans="1:20" s="2" customFormat="1" x14ac:dyDescent="0.25">
      <c r="A100" s="1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</row>
    <row r="101" spans="1:20" s="2" customFormat="1" ht="19.5" customHeight="1" x14ac:dyDescent="0.25">
      <c r="A101" s="125" t="s">
        <v>139</v>
      </c>
      <c r="B101" s="125"/>
      <c r="C101" s="125"/>
      <c r="D101" s="125"/>
      <c r="E101" s="125"/>
      <c r="F101" s="99"/>
      <c r="G101" s="99"/>
      <c r="H101" s="99"/>
      <c r="I101" s="99"/>
      <c r="J101" s="99"/>
      <c r="K101" s="99"/>
      <c r="L101" s="99"/>
      <c r="M101" s="99"/>
      <c r="N101" s="99"/>
      <c r="O101" s="4"/>
      <c r="P101" s="4"/>
    </row>
    <row r="102" spans="1:20" s="2" customFormat="1" x14ac:dyDescent="0.25">
      <c r="A102" s="1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</row>
  </sheetData>
  <mergeCells count="24">
    <mergeCell ref="A101:E101"/>
    <mergeCell ref="M9:M10"/>
    <mergeCell ref="G9:G10"/>
    <mergeCell ref="H9:H10"/>
    <mergeCell ref="I9:I10"/>
    <mergeCell ref="J9:J10"/>
    <mergeCell ref="K9:K10"/>
    <mergeCell ref="L9:L10"/>
    <mergeCell ref="A9:A10"/>
    <mergeCell ref="B9:B10"/>
    <mergeCell ref="C9:C10"/>
    <mergeCell ref="D9:D10"/>
    <mergeCell ref="E9:E10"/>
    <mergeCell ref="F9:F10"/>
    <mergeCell ref="O1:R1"/>
    <mergeCell ref="O2:R2"/>
    <mergeCell ref="O3:R3"/>
    <mergeCell ref="A5:T5"/>
    <mergeCell ref="A6:T6"/>
    <mergeCell ref="A7:T7"/>
    <mergeCell ref="N9:N10"/>
    <mergeCell ref="O9:P9"/>
    <mergeCell ref="Q9:R9"/>
    <mergeCell ref="S9:T9"/>
  </mergeCells>
  <printOptions horizontalCentered="1"/>
  <pageMargins left="0" right="0" top="0.39370078740157483" bottom="0.19685039370078741" header="0.19685039370078741" footer="0"/>
  <pageSetup paperSize="9" scale="64" fitToHeight="2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102"/>
  <sheetViews>
    <sheetView zoomScale="75" workbookViewId="0">
      <pane ySplit="12" topLeftCell="A97" activePane="bottomLeft" state="frozen"/>
      <selection pane="bottomLeft" activeCell="C102" sqref="C102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6640625" style="2" hidden="1" customWidth="1" outlineLevel="1"/>
    <col min="5" max="6" width="11.6640625" style="6" hidden="1" customWidth="1" outlineLevel="1"/>
    <col min="7" max="10" width="11.33203125" style="2" hidden="1" customWidth="1" outlineLevel="1"/>
    <col min="11" max="11" width="11.33203125" style="2" customWidth="1" collapsed="1"/>
    <col min="12" max="13" width="11.33203125" style="2" customWidth="1"/>
    <col min="14" max="14" width="11.5546875" style="2" customWidth="1"/>
    <col min="15" max="15" width="14" style="2" customWidth="1"/>
    <col min="16" max="16" width="10.44140625" style="2" customWidth="1"/>
    <col min="17" max="17" width="11.88671875" style="2" customWidth="1"/>
    <col min="18" max="18" width="10.44140625" style="2" customWidth="1"/>
    <col min="19" max="19" width="11.88671875" style="2" customWidth="1"/>
  </cols>
  <sheetData>
    <row r="1" spans="1:22" ht="18.75" customHeight="1" x14ac:dyDescent="0.3">
      <c r="D1" s="3"/>
      <c r="E1" s="4"/>
      <c r="F1" s="4"/>
      <c r="N1" s="136" t="s">
        <v>0</v>
      </c>
      <c r="O1" s="136"/>
      <c r="P1" s="136"/>
      <c r="Q1" s="136"/>
    </row>
    <row r="2" spans="1:22" ht="18.75" customHeight="1" x14ac:dyDescent="0.3">
      <c r="D2" s="3"/>
      <c r="E2" s="4"/>
      <c r="F2" s="4"/>
      <c r="N2" s="137" t="s">
        <v>1</v>
      </c>
      <c r="O2" s="137"/>
      <c r="P2" s="137"/>
      <c r="Q2" s="137"/>
    </row>
    <row r="3" spans="1:22" s="9" customFormat="1" ht="18.75" customHeight="1" x14ac:dyDescent="0.3">
      <c r="A3" s="5"/>
      <c r="B3" s="6"/>
      <c r="C3" s="6"/>
      <c r="D3" s="4"/>
      <c r="E3" s="4"/>
      <c r="F3" s="4"/>
      <c r="G3" s="7"/>
      <c r="H3" s="7"/>
      <c r="I3" s="7"/>
      <c r="J3" s="7"/>
      <c r="K3" s="7"/>
      <c r="L3" s="7"/>
      <c r="M3" s="7"/>
      <c r="N3" s="137" t="s">
        <v>140</v>
      </c>
      <c r="O3" s="137"/>
      <c r="P3" s="137"/>
      <c r="Q3" s="137"/>
      <c r="R3" s="8"/>
      <c r="S3" s="8"/>
    </row>
    <row r="4" spans="1:22" s="9" customFormat="1" ht="18.75" customHeight="1" x14ac:dyDescent="0.25">
      <c r="A4" s="5"/>
      <c r="B4" s="6"/>
      <c r="C4" s="6"/>
      <c r="D4" s="4"/>
      <c r="E4" s="4"/>
      <c r="F4" s="4"/>
      <c r="G4" s="7"/>
      <c r="H4" s="7"/>
      <c r="I4" s="7"/>
      <c r="J4" s="7"/>
      <c r="K4" s="7"/>
      <c r="L4" s="7"/>
      <c r="M4" s="7"/>
      <c r="N4" s="7"/>
      <c r="O4" s="8"/>
      <c r="P4" s="8"/>
      <c r="Q4" s="8"/>
      <c r="R4" s="8"/>
      <c r="S4" s="8"/>
    </row>
    <row r="5" spans="1:22" s="9" customFormat="1" ht="18.75" customHeight="1" x14ac:dyDescent="0.25">
      <c r="A5" s="138" t="s">
        <v>2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</row>
    <row r="6" spans="1:22" s="9" customFormat="1" ht="18.75" customHeight="1" x14ac:dyDescent="0.25">
      <c r="A6" s="138" t="s">
        <v>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</row>
    <row r="7" spans="1:22" s="9" customFormat="1" ht="18.75" customHeight="1" x14ac:dyDescent="0.25">
      <c r="A7" s="138" t="s">
        <v>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</row>
    <row r="8" spans="1:22" s="9" customFormat="1" ht="26.25" customHeight="1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22" s="9" customFormat="1" ht="26.25" customHeight="1" x14ac:dyDescent="0.25">
      <c r="A9" s="128" t="s">
        <v>5</v>
      </c>
      <c r="B9" s="130" t="s">
        <v>6</v>
      </c>
      <c r="C9" s="132" t="s">
        <v>7</v>
      </c>
      <c r="D9" s="130" t="s">
        <v>8</v>
      </c>
      <c r="E9" s="130" t="s">
        <v>9</v>
      </c>
      <c r="F9" s="126" t="s">
        <v>10</v>
      </c>
      <c r="G9" s="126" t="s">
        <v>11</v>
      </c>
      <c r="H9" s="126" t="s">
        <v>12</v>
      </c>
      <c r="I9" s="126" t="s">
        <v>13</v>
      </c>
      <c r="J9" s="126" t="s">
        <v>14</v>
      </c>
      <c r="K9" s="126" t="s">
        <v>15</v>
      </c>
      <c r="L9" s="126" t="s">
        <v>16</v>
      </c>
      <c r="M9" s="126" t="s">
        <v>17</v>
      </c>
      <c r="N9" s="139" t="s">
        <v>18</v>
      </c>
      <c r="O9" s="140"/>
      <c r="P9" s="139" t="s">
        <v>19</v>
      </c>
      <c r="Q9" s="140"/>
      <c r="R9" s="139" t="s">
        <v>20</v>
      </c>
      <c r="S9" s="141"/>
    </row>
    <row r="10" spans="1:22" s="14" customFormat="1" ht="30.6" thickBot="1" x14ac:dyDescent="0.3">
      <c r="A10" s="129"/>
      <c r="B10" s="131"/>
      <c r="C10" s="133"/>
      <c r="D10" s="134"/>
      <c r="E10" s="134"/>
      <c r="F10" s="135"/>
      <c r="G10" s="127"/>
      <c r="H10" s="127"/>
      <c r="I10" s="127"/>
      <c r="J10" s="127"/>
      <c r="K10" s="127"/>
      <c r="L10" s="127"/>
      <c r="M10" s="127"/>
      <c r="N10" s="11" t="s">
        <v>21</v>
      </c>
      <c r="O10" s="12" t="s">
        <v>22</v>
      </c>
      <c r="P10" s="11" t="s">
        <v>21</v>
      </c>
      <c r="Q10" s="12" t="s">
        <v>22</v>
      </c>
      <c r="R10" s="11" t="s">
        <v>21</v>
      </c>
      <c r="S10" s="13" t="s">
        <v>22</v>
      </c>
      <c r="V10" s="14">
        <v>23</v>
      </c>
    </row>
    <row r="11" spans="1:22" s="14" customFormat="1" ht="15.6" x14ac:dyDescent="0.25">
      <c r="A11" s="15" t="s">
        <v>23</v>
      </c>
      <c r="B11" s="16" t="s">
        <v>24</v>
      </c>
      <c r="C11" s="17"/>
      <c r="D11" s="18"/>
      <c r="E11" s="18"/>
      <c r="F11" s="18"/>
      <c r="G11" s="19"/>
      <c r="H11" s="19"/>
      <c r="I11" s="19"/>
      <c r="J11" s="19"/>
      <c r="K11" s="19"/>
      <c r="L11" s="19"/>
      <c r="M11" s="20"/>
      <c r="N11" s="20"/>
      <c r="O11" s="21"/>
      <c r="P11" s="20"/>
      <c r="Q11" s="21"/>
      <c r="R11" s="20"/>
      <c r="S11" s="22"/>
    </row>
    <row r="12" spans="1:22" s="28" customFormat="1" ht="35.25" customHeight="1" x14ac:dyDescent="0.25">
      <c r="A12" s="23" t="s">
        <v>25</v>
      </c>
      <c r="B12" s="24" t="s">
        <v>26</v>
      </c>
      <c r="C12" s="25" t="s">
        <v>27</v>
      </c>
      <c r="D12" s="26">
        <f>D14+D18+D19+D20+D21+D25</f>
        <v>982104.66</v>
      </c>
      <c r="E12" s="26">
        <v>1179481</v>
      </c>
      <c r="F12" s="26">
        <f>806483/9*12</f>
        <v>1075310.6666666665</v>
      </c>
      <c r="G12" s="26">
        <v>2954984</v>
      </c>
      <c r="H12" s="26">
        <v>3035894</v>
      </c>
      <c r="I12" s="26">
        <f>I13+I14+I19+I20+I21+I22+I25</f>
        <v>2354602</v>
      </c>
      <c r="J12" s="26">
        <f>J13+J14+J18+J19+J20+J21+J22+J25+J23+J24</f>
        <v>3844002.8</v>
      </c>
      <c r="K12" s="26">
        <f>K13+K14+K18+K19+K20+K21+K22+K25+K23+K24</f>
        <v>3234982.96</v>
      </c>
      <c r="L12" s="26">
        <f>L13+L14+L18+L19+L20+L21+L22+L25+L23+L24</f>
        <v>3676447.4449999998</v>
      </c>
      <c r="M12" s="26">
        <f>M13+M14+M18+M19+M20+M21+M22+M25+M23+M24</f>
        <v>3076976.6703999997</v>
      </c>
      <c r="N12" s="26">
        <f>N13+N14+N18+N19+N20+N21+N22+N25+N23+N24</f>
        <v>3284661.3587336</v>
      </c>
      <c r="O12" s="26">
        <f t="shared" ref="O12:S12" si="0">O13+O14+O18+O19+O20+O21+O22+O25+O23+O24</f>
        <v>3240196.3934708</v>
      </c>
      <c r="P12" s="26">
        <f t="shared" si="0"/>
        <v>3296160.3865153342</v>
      </c>
      <c r="Q12" s="26">
        <f t="shared" si="0"/>
        <v>3298165.6869012127</v>
      </c>
      <c r="R12" s="26">
        <f t="shared" si="0"/>
        <v>3326492.2763946308</v>
      </c>
      <c r="S12" s="27">
        <f t="shared" si="0"/>
        <v>3323678.5387536986</v>
      </c>
    </row>
    <row r="13" spans="1:22" s="28" customFormat="1" ht="15.6" x14ac:dyDescent="0.25">
      <c r="A13" s="23" t="s">
        <v>28</v>
      </c>
      <c r="B13" s="24" t="s">
        <v>29</v>
      </c>
      <c r="C13" s="25" t="s">
        <v>27</v>
      </c>
      <c r="D13" s="26">
        <v>1714082</v>
      </c>
      <c r="E13" s="29">
        <v>1714928.8</v>
      </c>
      <c r="F13" s="29"/>
      <c r="G13" s="26">
        <f>E13*0.98</f>
        <v>1680630.2239999999</v>
      </c>
      <c r="H13" s="26">
        <v>1769703.6258719999</v>
      </c>
      <c r="I13" s="26">
        <v>1185192</v>
      </c>
      <c r="J13" s="26">
        <v>1782799</v>
      </c>
      <c r="K13" s="26">
        <f>I13*1.005</f>
        <v>1191117.96</v>
      </c>
      <c r="L13" s="26">
        <f>J13*1.005</f>
        <v>1791712.9949999999</v>
      </c>
      <c r="M13" s="26">
        <f>K13*99/100</f>
        <v>1179206.7803999998</v>
      </c>
      <c r="N13" s="26">
        <f>M13*103.4%</f>
        <v>1219299.8109335999</v>
      </c>
      <c r="O13" s="26">
        <f>M13*102.7%</f>
        <v>1211045.3634708</v>
      </c>
      <c r="P13" s="26">
        <f>N13*100.4%</f>
        <v>1224177.0101773343</v>
      </c>
      <c r="Q13" s="26">
        <f>O13*100.3%</f>
        <v>1214678.4995612123</v>
      </c>
      <c r="R13" s="26">
        <f>P13*100.9%</f>
        <v>1235194.6032689305</v>
      </c>
      <c r="S13" s="27">
        <f>Q13*100.5%</f>
        <v>1220751.8920590181</v>
      </c>
    </row>
    <row r="14" spans="1:22" s="28" customFormat="1" ht="46.8" x14ac:dyDescent="0.25">
      <c r="A14" s="23" t="s">
        <v>30</v>
      </c>
      <c r="B14" s="30" t="s">
        <v>31</v>
      </c>
      <c r="C14" s="25" t="s">
        <v>27</v>
      </c>
      <c r="D14" s="26">
        <f>D15+D16+D17</f>
        <v>83928</v>
      </c>
      <c r="E14" s="26">
        <f>E15+E16+E17</f>
        <v>91759</v>
      </c>
      <c r="F14" s="26">
        <f>F15+F16+F17</f>
        <v>80271.7</v>
      </c>
      <c r="G14" s="26">
        <f>F14*0.98</f>
        <v>78666.265999999989</v>
      </c>
      <c r="H14" s="26">
        <v>82835.578097999984</v>
      </c>
      <c r="I14" s="26">
        <v>87800</v>
      </c>
      <c r="J14" s="26">
        <v>106747</v>
      </c>
      <c r="K14" s="26">
        <f>K15+K16+K17</f>
        <v>107886</v>
      </c>
      <c r="L14" s="26">
        <f>L15+L16+L17</f>
        <v>108442</v>
      </c>
      <c r="M14" s="26">
        <f>M15+M16+M17</f>
        <v>108442</v>
      </c>
      <c r="N14" s="26">
        <f>N15+N16+N17</f>
        <v>109526.42000000001</v>
      </c>
      <c r="O14" s="26">
        <f t="shared" ref="O14:S14" si="1">O15+O16+O17</f>
        <v>109526.42000000001</v>
      </c>
      <c r="P14" s="26">
        <f t="shared" si="1"/>
        <v>109745.47284</v>
      </c>
      <c r="Q14" s="26">
        <f t="shared" si="1"/>
        <v>109745.47284</v>
      </c>
      <c r="R14" s="26">
        <f t="shared" si="1"/>
        <v>109964.96378568001</v>
      </c>
      <c r="S14" s="27">
        <f t="shared" si="1"/>
        <v>109964.96378568001</v>
      </c>
    </row>
    <row r="15" spans="1:22" s="28" customFormat="1" ht="15.6" x14ac:dyDescent="0.25">
      <c r="A15" s="31"/>
      <c r="B15" s="32" t="s">
        <v>32</v>
      </c>
      <c r="C15" s="25" t="s">
        <v>27</v>
      </c>
      <c r="D15" s="33">
        <v>58626</v>
      </c>
      <c r="E15" s="33">
        <v>66960</v>
      </c>
      <c r="F15" s="33">
        <v>54204</v>
      </c>
      <c r="G15" s="26">
        <f>F15*1.1</f>
        <v>59624.4</v>
      </c>
      <c r="H15" s="26">
        <v>62784.493199999997</v>
      </c>
      <c r="I15" s="26">
        <v>58000</v>
      </c>
      <c r="J15" s="26">
        <v>72054.7</v>
      </c>
      <c r="K15" s="26">
        <v>73486</v>
      </c>
      <c r="L15" s="26">
        <v>74049</v>
      </c>
      <c r="M15" s="26">
        <v>74049</v>
      </c>
      <c r="N15" s="26">
        <f>M15*101%</f>
        <v>74789.490000000005</v>
      </c>
      <c r="O15" s="26">
        <f>M15*101%</f>
        <v>74789.490000000005</v>
      </c>
      <c r="P15" s="26">
        <f t="shared" ref="P15:S17" si="2">N15*100.2%</f>
        <v>74939.068980000011</v>
      </c>
      <c r="Q15" s="26">
        <f t="shared" si="2"/>
        <v>74939.068980000011</v>
      </c>
      <c r="R15" s="26">
        <f t="shared" si="2"/>
        <v>75088.947117960008</v>
      </c>
      <c r="S15" s="27">
        <f t="shared" si="2"/>
        <v>75088.947117960008</v>
      </c>
    </row>
    <row r="16" spans="1:22" s="28" customFormat="1" ht="15.6" x14ac:dyDescent="0.25">
      <c r="A16" s="31"/>
      <c r="B16" s="32" t="s">
        <v>33</v>
      </c>
      <c r="C16" s="25" t="s">
        <v>27</v>
      </c>
      <c r="D16" s="33">
        <v>13797</v>
      </c>
      <c r="E16" s="33">
        <v>13523</v>
      </c>
      <c r="F16" s="33">
        <v>13058.7</v>
      </c>
      <c r="G16" s="26">
        <f>F16*1.07</f>
        <v>13972.809000000001</v>
      </c>
      <c r="H16" s="26">
        <v>14713.367877000001</v>
      </c>
      <c r="I16" s="26">
        <v>14950</v>
      </c>
      <c r="J16" s="26">
        <f>355.1*72.22</f>
        <v>25645.322</v>
      </c>
      <c r="K16" s="26">
        <v>25700</v>
      </c>
      <c r="L16" s="26">
        <v>25563</v>
      </c>
      <c r="M16" s="26">
        <v>25563</v>
      </c>
      <c r="N16" s="26">
        <f>M16*101%</f>
        <v>25818.63</v>
      </c>
      <c r="O16" s="26">
        <f>M16*101%</f>
        <v>25818.63</v>
      </c>
      <c r="P16" s="26">
        <f t="shared" si="2"/>
        <v>25870.267260000001</v>
      </c>
      <c r="Q16" s="26">
        <f t="shared" si="2"/>
        <v>25870.267260000001</v>
      </c>
      <c r="R16" s="26">
        <f t="shared" si="2"/>
        <v>25922.007794519999</v>
      </c>
      <c r="S16" s="27">
        <f t="shared" si="2"/>
        <v>25922.007794519999</v>
      </c>
    </row>
    <row r="17" spans="1:19" s="28" customFormat="1" ht="15.6" x14ac:dyDescent="0.25">
      <c r="A17" s="31"/>
      <c r="B17" s="32" t="s">
        <v>34</v>
      </c>
      <c r="C17" s="25" t="s">
        <v>27</v>
      </c>
      <c r="D17" s="33">
        <v>11505</v>
      </c>
      <c r="E17" s="33">
        <v>11276</v>
      </c>
      <c r="F17" s="33">
        <v>13009</v>
      </c>
      <c r="G17" s="26">
        <f>F17*1.07</f>
        <v>13919.630000000001</v>
      </c>
      <c r="H17" s="26">
        <v>14657.37039</v>
      </c>
      <c r="I17" s="26">
        <v>14850</v>
      </c>
      <c r="J17" s="26">
        <f>53.2*161.64</f>
        <v>8599.2479999999996</v>
      </c>
      <c r="K17" s="26">
        <v>8700</v>
      </c>
      <c r="L17" s="26">
        <v>8830</v>
      </c>
      <c r="M17" s="26">
        <v>8830</v>
      </c>
      <c r="N17" s="26">
        <f>M17*101%</f>
        <v>8918.2999999999993</v>
      </c>
      <c r="O17" s="26">
        <f>M17*101%</f>
        <v>8918.2999999999993</v>
      </c>
      <c r="P17" s="26">
        <f t="shared" si="2"/>
        <v>8936.1365999999998</v>
      </c>
      <c r="Q17" s="26">
        <f t="shared" si="2"/>
        <v>8936.1365999999998</v>
      </c>
      <c r="R17" s="26">
        <f t="shared" si="2"/>
        <v>8954.0088732000004</v>
      </c>
      <c r="S17" s="27">
        <f t="shared" si="2"/>
        <v>8954.0088732000004</v>
      </c>
    </row>
    <row r="18" spans="1:19" s="28" customFormat="1" ht="15.6" x14ac:dyDescent="0.25">
      <c r="A18" s="23" t="s">
        <v>35</v>
      </c>
      <c r="B18" s="30" t="s">
        <v>36</v>
      </c>
      <c r="C18" s="25" t="s">
        <v>27</v>
      </c>
      <c r="D18" s="34">
        <v>6188.52</v>
      </c>
      <c r="E18" s="34">
        <v>7680</v>
      </c>
      <c r="F18" s="34">
        <v>7680</v>
      </c>
      <c r="G18" s="26">
        <v>8432.6</v>
      </c>
      <c r="H18" s="26">
        <v>7646.2080000000005</v>
      </c>
      <c r="I18" s="35">
        <v>7890</v>
      </c>
      <c r="J18" s="35">
        <f>J29*38</f>
        <v>4715.8</v>
      </c>
      <c r="K18" s="36">
        <v>5600</v>
      </c>
      <c r="L18" s="36">
        <v>4904.45</v>
      </c>
      <c r="M18" s="36">
        <v>4904</v>
      </c>
      <c r="N18" s="36">
        <f>M18*101%</f>
        <v>4953.04</v>
      </c>
      <c r="O18" s="36">
        <f>M18*100%</f>
        <v>4904</v>
      </c>
      <c r="P18" s="36">
        <f>N18*100.3%</f>
        <v>4967.8991199999991</v>
      </c>
      <c r="Q18" s="36">
        <f>O18*100.1%</f>
        <v>4908.9039999999995</v>
      </c>
      <c r="R18" s="36">
        <f>P18*100.2%</f>
        <v>4977.8349182399988</v>
      </c>
      <c r="S18" s="37">
        <f>Q18*100.1%</f>
        <v>4913.8129039999994</v>
      </c>
    </row>
    <row r="19" spans="1:19" s="28" customFormat="1" ht="15.6" x14ac:dyDescent="0.25">
      <c r="A19" s="38" t="s">
        <v>37</v>
      </c>
      <c r="B19" s="30" t="s">
        <v>38</v>
      </c>
      <c r="C19" s="25" t="s">
        <v>27</v>
      </c>
      <c r="D19" s="33">
        <v>852084</v>
      </c>
      <c r="E19" s="33">
        <v>835041</v>
      </c>
      <c r="F19" s="33">
        <v>891415</v>
      </c>
      <c r="G19" s="26">
        <v>893112</v>
      </c>
      <c r="H19" s="26">
        <v>971815.80599999998</v>
      </c>
      <c r="I19" s="36">
        <v>988960</v>
      </c>
      <c r="J19" s="36">
        <v>1695233</v>
      </c>
      <c r="K19" s="26">
        <v>1783325</v>
      </c>
      <c r="L19" s="26">
        <v>1628714</v>
      </c>
      <c r="M19" s="26">
        <f>K19*92%</f>
        <v>1640659</v>
      </c>
      <c r="N19" s="36">
        <f>M19*110%</f>
        <v>1804724.9000000001</v>
      </c>
      <c r="O19" s="26">
        <f>M19*108%</f>
        <v>1771911.7200000002</v>
      </c>
      <c r="P19" s="26">
        <f>N19*100.3%</f>
        <v>1810139.0747</v>
      </c>
      <c r="Q19" s="26">
        <f>O19*103%</f>
        <v>1825069.0716000004</v>
      </c>
      <c r="R19" s="26">
        <f t="shared" ref="R19:S21" si="3">P19*101%</f>
        <v>1828240.465447</v>
      </c>
      <c r="S19" s="27">
        <f t="shared" si="3"/>
        <v>1843319.7623160004</v>
      </c>
    </row>
    <row r="20" spans="1:19" s="28" customFormat="1" ht="15.6" x14ac:dyDescent="0.25">
      <c r="A20" s="38" t="s">
        <v>39</v>
      </c>
      <c r="B20" s="32" t="s">
        <v>40</v>
      </c>
      <c r="C20" s="25" t="s">
        <v>27</v>
      </c>
      <c r="D20" s="33">
        <v>7958</v>
      </c>
      <c r="E20" s="33">
        <v>64624</v>
      </c>
      <c r="F20" s="33">
        <v>64624</v>
      </c>
      <c r="G20" s="26">
        <v>65916.5</v>
      </c>
      <c r="H20" s="26">
        <v>66018.887999999992</v>
      </c>
      <c r="I20" s="36">
        <v>61400</v>
      </c>
      <c r="J20" s="36">
        <v>66523</v>
      </c>
      <c r="K20" s="26">
        <v>67854</v>
      </c>
      <c r="L20" s="26">
        <v>67855</v>
      </c>
      <c r="M20" s="26">
        <f>K20*102%</f>
        <v>69211.08</v>
      </c>
      <c r="N20" s="36">
        <f>M20*102%</f>
        <v>70595.301600000006</v>
      </c>
      <c r="O20" s="26">
        <f>M20*1</f>
        <v>69211.08</v>
      </c>
      <c r="P20" s="26">
        <f>N20*101%</f>
        <v>71301.254616000006</v>
      </c>
      <c r="Q20" s="26">
        <f>O20*101%</f>
        <v>69903.190799999997</v>
      </c>
      <c r="R20" s="26">
        <f t="shared" si="3"/>
        <v>72014.267162160002</v>
      </c>
      <c r="S20" s="27">
        <f t="shared" si="3"/>
        <v>70602.222708000001</v>
      </c>
    </row>
    <row r="21" spans="1:19" s="28" customFormat="1" ht="15.6" x14ac:dyDescent="0.25">
      <c r="A21" s="38" t="s">
        <v>41</v>
      </c>
      <c r="B21" s="32" t="s">
        <v>42</v>
      </c>
      <c r="C21" s="25" t="s">
        <v>27</v>
      </c>
      <c r="D21" s="33">
        <v>31911.84</v>
      </c>
      <c r="E21" s="33">
        <v>31275</v>
      </c>
      <c r="F21" s="33">
        <v>31275</v>
      </c>
      <c r="G21" s="26">
        <v>34371.199999999997</v>
      </c>
      <c r="H21" s="26">
        <v>32273.923499999997</v>
      </c>
      <c r="I21" s="36">
        <v>31250</v>
      </c>
      <c r="J21" s="36">
        <v>29105</v>
      </c>
      <c r="K21" s="26">
        <v>29000</v>
      </c>
      <c r="L21" s="26">
        <v>26519</v>
      </c>
      <c r="M21" s="26">
        <f>L21*0.99</f>
        <v>26253.81</v>
      </c>
      <c r="N21" s="36">
        <f>M21*102%</f>
        <v>26778.886200000001</v>
      </c>
      <c r="O21" s="26">
        <f>M21*1</f>
        <v>26253.81</v>
      </c>
      <c r="P21" s="26">
        <f>N21*101%</f>
        <v>27046.675062000002</v>
      </c>
      <c r="Q21" s="26">
        <f>O21*101%</f>
        <v>26516.348100000003</v>
      </c>
      <c r="R21" s="26">
        <f t="shared" si="3"/>
        <v>27317.141812620001</v>
      </c>
      <c r="S21" s="27">
        <f t="shared" si="3"/>
        <v>26781.511581000002</v>
      </c>
    </row>
    <row r="22" spans="1:19" s="28" customFormat="1" ht="15.6" hidden="1" outlineLevel="1" x14ac:dyDescent="0.25">
      <c r="A22" s="38" t="s">
        <v>43</v>
      </c>
      <c r="B22" s="32" t="s">
        <v>44</v>
      </c>
      <c r="C22" s="25" t="s">
        <v>27</v>
      </c>
      <c r="D22" s="33"/>
      <c r="E22" s="33">
        <v>149067</v>
      </c>
      <c r="F22" s="33">
        <v>149100</v>
      </c>
      <c r="G22" s="26">
        <f>F22*1.3</f>
        <v>193830</v>
      </c>
      <c r="H22" s="26">
        <v>105600</v>
      </c>
      <c r="I22" s="26">
        <v>0</v>
      </c>
      <c r="J22" s="26">
        <v>0</v>
      </c>
      <c r="K22" s="26">
        <v>0</v>
      </c>
      <c r="L22" s="26"/>
      <c r="M22" s="39">
        <v>0</v>
      </c>
      <c r="N22" s="39">
        <v>0</v>
      </c>
      <c r="O22" s="39">
        <v>0</v>
      </c>
      <c r="P22" s="39">
        <f t="shared" ref="P22:P33" si="4">N22*1.015</f>
        <v>0</v>
      </c>
      <c r="Q22" s="39">
        <f t="shared" ref="Q22" si="5">O22*1.02</f>
        <v>0</v>
      </c>
      <c r="R22" s="39">
        <f t="shared" ref="R22:S25" si="6">P22*1.017</f>
        <v>0</v>
      </c>
      <c r="S22" s="40">
        <f t="shared" si="6"/>
        <v>0</v>
      </c>
    </row>
    <row r="23" spans="1:19" s="28" customFormat="1" ht="15.6" hidden="1" outlineLevel="1" x14ac:dyDescent="0.25">
      <c r="A23" s="38" t="s">
        <v>43</v>
      </c>
      <c r="B23" s="32" t="s">
        <v>45</v>
      </c>
      <c r="C23" s="25" t="s">
        <v>27</v>
      </c>
      <c r="D23" s="33"/>
      <c r="E23" s="33"/>
      <c r="F23" s="33"/>
      <c r="G23" s="26"/>
      <c r="H23" s="26"/>
      <c r="I23" s="26"/>
      <c r="J23" s="26">
        <v>56936</v>
      </c>
      <c r="K23" s="26">
        <v>0</v>
      </c>
      <c r="L23" s="26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40">
        <f t="shared" si="6"/>
        <v>0</v>
      </c>
    </row>
    <row r="24" spans="1:19" s="28" customFormat="1" ht="15.6" collapsed="1" x14ac:dyDescent="0.25">
      <c r="A24" s="38" t="s">
        <v>43</v>
      </c>
      <c r="B24" s="32" t="s">
        <v>46</v>
      </c>
      <c r="C24" s="25" t="s">
        <v>27</v>
      </c>
      <c r="D24" s="33"/>
      <c r="E24" s="33"/>
      <c r="F24" s="33"/>
      <c r="G24" s="26"/>
      <c r="H24" s="26"/>
      <c r="I24" s="26"/>
      <c r="J24" s="26">
        <v>101934</v>
      </c>
      <c r="K24" s="26">
        <v>50200</v>
      </c>
      <c r="L24" s="26">
        <v>48300</v>
      </c>
      <c r="M24" s="26">
        <f>L24*1</f>
        <v>48300</v>
      </c>
      <c r="N24" s="26">
        <f>M24*101%</f>
        <v>48783</v>
      </c>
      <c r="O24" s="26">
        <f>M24*0.98</f>
        <v>47334</v>
      </c>
      <c r="P24" s="26">
        <f>N24*1</f>
        <v>48783</v>
      </c>
      <c r="Q24" s="26">
        <f>O24*1</f>
        <v>47334</v>
      </c>
      <c r="R24" s="26">
        <f>P24*1</f>
        <v>48783</v>
      </c>
      <c r="S24" s="27">
        <f>Q24*1</f>
        <v>47334</v>
      </c>
    </row>
    <row r="25" spans="1:19" s="28" customFormat="1" ht="15.6" hidden="1" outlineLevel="1" x14ac:dyDescent="0.25">
      <c r="A25" s="38" t="s">
        <v>47</v>
      </c>
      <c r="B25" s="41" t="s">
        <v>48</v>
      </c>
      <c r="C25" s="25" t="s">
        <v>27</v>
      </c>
      <c r="D25" s="42">
        <v>34.299999999999997</v>
      </c>
      <c r="E25" s="42">
        <v>35.700000000000003</v>
      </c>
      <c r="F25" s="42">
        <v>35.700000000000003</v>
      </c>
      <c r="G25" s="29">
        <v>25</v>
      </c>
      <c r="H25" s="43">
        <v>0</v>
      </c>
      <c r="I25" s="43">
        <v>0</v>
      </c>
      <c r="J25" s="43">
        <v>10</v>
      </c>
      <c r="K25" s="43">
        <v>0</v>
      </c>
      <c r="L25" s="43"/>
      <c r="M25" s="44">
        <v>0</v>
      </c>
      <c r="N25" s="44">
        <v>0</v>
      </c>
      <c r="O25" s="44">
        <v>10</v>
      </c>
      <c r="P25" s="44">
        <f t="shared" si="4"/>
        <v>0</v>
      </c>
      <c r="Q25" s="44">
        <f>O25*1.02</f>
        <v>10.199999999999999</v>
      </c>
      <c r="R25" s="44">
        <f>P25*1.017</f>
        <v>0</v>
      </c>
      <c r="S25" s="45">
        <f t="shared" si="6"/>
        <v>10.373399999999998</v>
      </c>
    </row>
    <row r="26" spans="1:19" s="28" customFormat="1" ht="46.8" collapsed="1" x14ac:dyDescent="0.25">
      <c r="A26" s="23" t="s">
        <v>49</v>
      </c>
      <c r="B26" s="30" t="s">
        <v>50</v>
      </c>
      <c r="C26" s="25" t="s">
        <v>51</v>
      </c>
      <c r="D26" s="26"/>
      <c r="E26" s="26"/>
      <c r="F26" s="26"/>
      <c r="G26" s="26"/>
      <c r="H26" s="26"/>
      <c r="I26" s="26"/>
      <c r="J26" s="26"/>
      <c r="K26" s="39"/>
      <c r="L26" s="39"/>
      <c r="M26" s="39"/>
      <c r="N26" s="39"/>
      <c r="O26" s="39"/>
      <c r="P26" s="39"/>
      <c r="Q26" s="39"/>
      <c r="R26" s="39"/>
      <c r="S26" s="40"/>
    </row>
    <row r="27" spans="1:19" s="28" customFormat="1" ht="15.6" x14ac:dyDescent="0.25">
      <c r="A27" s="23"/>
      <c r="B27" s="30" t="s">
        <v>52</v>
      </c>
      <c r="C27" s="25" t="s">
        <v>53</v>
      </c>
      <c r="D27" s="29">
        <f>50.8*1.011</f>
        <v>51.358799999999995</v>
      </c>
      <c r="E27" s="29">
        <v>47.75</v>
      </c>
      <c r="F27" s="29">
        <v>45.3</v>
      </c>
      <c r="G27" s="29">
        <f>F27*0.98</f>
        <v>44.393999999999998</v>
      </c>
      <c r="H27" s="29">
        <v>45.104303999999999</v>
      </c>
      <c r="I27" s="29">
        <v>42.8</v>
      </c>
      <c r="J27" s="29">
        <v>42.5</v>
      </c>
      <c r="K27" s="46">
        <v>43.3</v>
      </c>
      <c r="L27" s="46">
        <v>43.2</v>
      </c>
      <c r="M27" s="46">
        <v>43.3</v>
      </c>
      <c r="N27" s="29">
        <f>M27*100%</f>
        <v>43.3</v>
      </c>
      <c r="O27" s="46">
        <f>M27*99%</f>
        <v>42.866999999999997</v>
      </c>
      <c r="P27" s="29">
        <f>N27*100.1%</f>
        <v>43.343299999999992</v>
      </c>
      <c r="Q27" s="29">
        <f>O27*99%</f>
        <v>42.438329999999993</v>
      </c>
      <c r="R27" s="29">
        <f>P27*100.1%</f>
        <v>43.386643299999989</v>
      </c>
      <c r="S27" s="47">
        <f>Q27*99%</f>
        <v>42.013946699999991</v>
      </c>
    </row>
    <row r="28" spans="1:19" s="28" customFormat="1" ht="15.6" x14ac:dyDescent="0.25">
      <c r="A28" s="23"/>
      <c r="B28" s="30" t="s">
        <v>54</v>
      </c>
      <c r="C28" s="25" t="s">
        <v>55</v>
      </c>
      <c r="D28" s="26">
        <v>523.5</v>
      </c>
      <c r="E28" s="29">
        <v>429</v>
      </c>
      <c r="F28" s="29">
        <v>510.7</v>
      </c>
      <c r="G28" s="29">
        <f>F28*0.98</f>
        <v>500.48599999999999</v>
      </c>
      <c r="H28" s="29">
        <v>508.49377600000003</v>
      </c>
      <c r="I28" s="29">
        <v>505.6</v>
      </c>
      <c r="J28" s="29">
        <v>408.3</v>
      </c>
      <c r="K28" s="46">
        <v>409.2</v>
      </c>
      <c r="L28" s="46">
        <v>401</v>
      </c>
      <c r="M28" s="46">
        <v>409.6</v>
      </c>
      <c r="N28" s="29">
        <f t="shared" ref="N28:N32" si="7">M28*102%</f>
        <v>417.79200000000003</v>
      </c>
      <c r="O28" s="46">
        <f>M28*101%</f>
        <v>413.69600000000003</v>
      </c>
      <c r="P28" s="29">
        <f t="shared" ref="P28:S28" si="8">N28*100.2%</f>
        <v>418.62758400000001</v>
      </c>
      <c r="Q28" s="29">
        <f t="shared" si="8"/>
        <v>414.523392</v>
      </c>
      <c r="R28" s="29">
        <f t="shared" si="8"/>
        <v>419.46483916800003</v>
      </c>
      <c r="S28" s="47">
        <f t="shared" si="8"/>
        <v>415.35243878400001</v>
      </c>
    </row>
    <row r="29" spans="1:19" s="28" customFormat="1" ht="15.6" x14ac:dyDescent="0.25">
      <c r="A29" s="48" t="s">
        <v>56</v>
      </c>
      <c r="B29" s="30" t="s">
        <v>57</v>
      </c>
      <c r="C29" s="25" t="s">
        <v>58</v>
      </c>
      <c r="D29" s="42">
        <v>213.4</v>
      </c>
      <c r="E29" s="42">
        <v>213.3</v>
      </c>
      <c r="F29" s="42">
        <v>214</v>
      </c>
      <c r="G29" s="42">
        <f>F29*1.1</f>
        <v>235.4</v>
      </c>
      <c r="H29" s="42">
        <v>246.69920000000002</v>
      </c>
      <c r="I29" s="49">
        <v>225.3</v>
      </c>
      <c r="J29" s="49">
        <v>124.1</v>
      </c>
      <c r="K29" s="42">
        <v>147.4</v>
      </c>
      <c r="L29" s="42">
        <v>125.3</v>
      </c>
      <c r="M29" s="42">
        <v>145</v>
      </c>
      <c r="N29" s="49">
        <f t="shared" si="7"/>
        <v>147.9</v>
      </c>
      <c r="O29" s="42">
        <f>M29*1</f>
        <v>145</v>
      </c>
      <c r="P29" s="42">
        <f>N29*1.005</f>
        <v>148.6395</v>
      </c>
      <c r="Q29" s="42">
        <f>O29*1.005</f>
        <v>145.72499999999999</v>
      </c>
      <c r="R29" s="42">
        <f>P29*1.006</f>
        <v>149.53133700000001</v>
      </c>
      <c r="S29" s="50">
        <f>Q29*1.006</f>
        <v>146.59934999999999</v>
      </c>
    </row>
    <row r="30" spans="1:19" s="28" customFormat="1" ht="15.6" x14ac:dyDescent="0.25">
      <c r="A30" s="23" t="s">
        <v>59</v>
      </c>
      <c r="B30" s="30" t="s">
        <v>38</v>
      </c>
      <c r="C30" s="25" t="s">
        <v>60</v>
      </c>
      <c r="D30" s="26">
        <v>1298</v>
      </c>
      <c r="E30" s="26">
        <v>1297</v>
      </c>
      <c r="F30" s="26">
        <v>1328</v>
      </c>
      <c r="G30" s="26">
        <f>F30*1.1</f>
        <v>1460.8000000000002</v>
      </c>
      <c r="H30" s="26">
        <v>1538.2224000000001</v>
      </c>
      <c r="I30" s="26">
        <v>1519</v>
      </c>
      <c r="J30" s="26">
        <v>2401</v>
      </c>
      <c r="K30" s="26">
        <v>2526</v>
      </c>
      <c r="L30" s="26">
        <v>2307</v>
      </c>
      <c r="M30" s="26">
        <v>2526</v>
      </c>
      <c r="N30" s="26">
        <f t="shared" si="7"/>
        <v>2576.52</v>
      </c>
      <c r="O30" s="26">
        <f>M30*1</f>
        <v>2526</v>
      </c>
      <c r="P30" s="26">
        <f t="shared" ref="P30:S32" si="9">N30*101%</f>
        <v>2602.2851999999998</v>
      </c>
      <c r="Q30" s="26">
        <f t="shared" si="9"/>
        <v>2551.2600000000002</v>
      </c>
      <c r="R30" s="26">
        <f t="shared" si="9"/>
        <v>2628.3080519999999</v>
      </c>
      <c r="S30" s="27">
        <f t="shared" si="9"/>
        <v>2576.7726000000002</v>
      </c>
    </row>
    <row r="31" spans="1:19" s="28" customFormat="1" ht="15.6" x14ac:dyDescent="0.25">
      <c r="A31" s="23" t="s">
        <v>61</v>
      </c>
      <c r="B31" s="32" t="s">
        <v>40</v>
      </c>
      <c r="C31" s="25" t="s">
        <v>62</v>
      </c>
      <c r="D31" s="26">
        <v>20041</v>
      </c>
      <c r="E31" s="26">
        <v>41821</v>
      </c>
      <c r="F31" s="26">
        <v>43524</v>
      </c>
      <c r="G31" s="26">
        <v>44120</v>
      </c>
      <c r="H31" s="26">
        <v>50413.849199999997</v>
      </c>
      <c r="I31" s="26">
        <v>50799</v>
      </c>
      <c r="J31" s="26">
        <v>49952</v>
      </c>
      <c r="K31" s="26">
        <v>50951</v>
      </c>
      <c r="L31" s="26">
        <v>50951</v>
      </c>
      <c r="M31" s="26">
        <v>51000</v>
      </c>
      <c r="N31" s="26">
        <f t="shared" si="7"/>
        <v>52020</v>
      </c>
      <c r="O31" s="26">
        <f>M31*1</f>
        <v>51000</v>
      </c>
      <c r="P31" s="26">
        <f t="shared" si="9"/>
        <v>52540.2</v>
      </c>
      <c r="Q31" s="26">
        <f t="shared" si="9"/>
        <v>51510</v>
      </c>
      <c r="R31" s="26">
        <f t="shared" si="9"/>
        <v>53065.601999999999</v>
      </c>
      <c r="S31" s="27">
        <f t="shared" si="9"/>
        <v>52025.1</v>
      </c>
    </row>
    <row r="32" spans="1:19" s="28" customFormat="1" ht="15.6" x14ac:dyDescent="0.25">
      <c r="A32" s="23" t="s">
        <v>63</v>
      </c>
      <c r="B32" s="32" t="s">
        <v>42</v>
      </c>
      <c r="C32" s="25" t="s">
        <v>60</v>
      </c>
      <c r="D32" s="26">
        <v>500</v>
      </c>
      <c r="E32" s="26">
        <v>491</v>
      </c>
      <c r="F32" s="26">
        <v>513</v>
      </c>
      <c r="G32" s="26">
        <f>F32*1.1</f>
        <v>564.30000000000007</v>
      </c>
      <c r="H32" s="26">
        <v>594.2079</v>
      </c>
      <c r="I32" s="26">
        <v>598</v>
      </c>
      <c r="J32" s="26">
        <v>528</v>
      </c>
      <c r="K32" s="26">
        <v>526</v>
      </c>
      <c r="L32" s="26">
        <v>481</v>
      </c>
      <c r="M32" s="26">
        <v>515</v>
      </c>
      <c r="N32" s="26">
        <f t="shared" si="7"/>
        <v>525.29999999999995</v>
      </c>
      <c r="O32" s="26">
        <f>M32*1</f>
        <v>515</v>
      </c>
      <c r="P32" s="26">
        <f t="shared" si="9"/>
        <v>530.553</v>
      </c>
      <c r="Q32" s="26">
        <f t="shared" si="9"/>
        <v>520.15</v>
      </c>
      <c r="R32" s="26">
        <f t="shared" si="9"/>
        <v>535.85852999999997</v>
      </c>
      <c r="S32" s="27">
        <f t="shared" si="9"/>
        <v>525.35149999999999</v>
      </c>
    </row>
    <row r="33" spans="1:19" s="28" customFormat="1" ht="15.6" hidden="1" outlineLevel="1" x14ac:dyDescent="0.25">
      <c r="A33" s="23" t="s">
        <v>64</v>
      </c>
      <c r="B33" s="41" t="s">
        <v>48</v>
      </c>
      <c r="C33" s="25" t="s">
        <v>65</v>
      </c>
      <c r="D33" s="34">
        <v>0.05</v>
      </c>
      <c r="E33" s="34">
        <v>0.06</v>
      </c>
      <c r="F33" s="34">
        <v>7.0000000000000007E-2</v>
      </c>
      <c r="G33" s="34">
        <v>0.1</v>
      </c>
      <c r="H33" s="34">
        <v>0</v>
      </c>
      <c r="I33" s="34">
        <v>0</v>
      </c>
      <c r="J33" s="34">
        <v>0</v>
      </c>
      <c r="K33" s="51">
        <v>0</v>
      </c>
      <c r="L33" s="51"/>
      <c r="M33" s="51">
        <v>0</v>
      </c>
      <c r="N33" s="51">
        <v>0</v>
      </c>
      <c r="O33" s="51">
        <v>0.12</v>
      </c>
      <c r="P33" s="51">
        <f t="shared" si="4"/>
        <v>0</v>
      </c>
      <c r="Q33" s="51">
        <f t="shared" ref="Q33" si="10">O33*1.02</f>
        <v>0.12239999999999999</v>
      </c>
      <c r="R33" s="51">
        <f t="shared" ref="R33:S33" si="11">P33*1.017</f>
        <v>0</v>
      </c>
      <c r="S33" s="52">
        <f t="shared" si="11"/>
        <v>0.12448079999999999</v>
      </c>
    </row>
    <row r="34" spans="1:19" s="28" customFormat="1" ht="31.2" collapsed="1" x14ac:dyDescent="0.25">
      <c r="A34" s="53" t="s">
        <v>66</v>
      </c>
      <c r="B34" s="54" t="s">
        <v>67</v>
      </c>
      <c r="C34" s="25"/>
      <c r="D34" s="26"/>
      <c r="E34" s="26"/>
      <c r="F34" s="26"/>
      <c r="G34" s="26"/>
      <c r="H34" s="26"/>
      <c r="I34" s="26"/>
      <c r="J34" s="26"/>
      <c r="K34" s="39"/>
      <c r="L34" s="39"/>
      <c r="M34" s="39"/>
      <c r="N34" s="39"/>
      <c r="O34" s="39"/>
      <c r="P34" s="39"/>
      <c r="Q34" s="39"/>
      <c r="R34" s="39"/>
      <c r="S34" s="40"/>
    </row>
    <row r="35" spans="1:19" s="28" customFormat="1" ht="46.8" x14ac:dyDescent="0.25">
      <c r="A35" s="23" t="s">
        <v>25</v>
      </c>
      <c r="B35" s="30" t="s">
        <v>68</v>
      </c>
      <c r="C35" s="25" t="s">
        <v>51</v>
      </c>
      <c r="D35" s="26"/>
      <c r="E35" s="26"/>
      <c r="F35" s="26"/>
      <c r="G35" s="26"/>
      <c r="H35" s="26"/>
      <c r="I35" s="26"/>
      <c r="J35" s="26"/>
      <c r="K35" s="39"/>
      <c r="L35" s="39"/>
      <c r="M35" s="39"/>
      <c r="N35" s="39"/>
      <c r="O35" s="39"/>
      <c r="P35" s="39"/>
      <c r="Q35" s="39"/>
      <c r="R35" s="39"/>
      <c r="S35" s="40"/>
    </row>
    <row r="36" spans="1:19" s="28" customFormat="1" ht="15.6" x14ac:dyDescent="0.25">
      <c r="A36" s="23"/>
      <c r="B36" s="30" t="s">
        <v>69</v>
      </c>
      <c r="C36" s="25" t="s">
        <v>70</v>
      </c>
      <c r="D36" s="34">
        <f>D39+D40+D42+D43+D45</f>
        <v>74.709999999999994</v>
      </c>
      <c r="E36" s="34">
        <v>67.5</v>
      </c>
      <c r="F36" s="34">
        <v>33.6</v>
      </c>
      <c r="G36" s="43">
        <f t="shared" ref="G36" si="12">G39+G40+G42+G43+G45</f>
        <v>15.7</v>
      </c>
      <c r="H36" s="34">
        <v>5.5019999999999998</v>
      </c>
      <c r="I36" s="34">
        <v>3</v>
      </c>
      <c r="J36" s="34">
        <v>4.01</v>
      </c>
      <c r="K36" s="34">
        <v>3.1</v>
      </c>
      <c r="L36" s="34">
        <v>2.5</v>
      </c>
      <c r="M36" s="34">
        <v>2</v>
      </c>
      <c r="N36" s="34">
        <f>M36*0.97</f>
        <v>1.94</v>
      </c>
      <c r="O36" s="34">
        <f>M36*0.95</f>
        <v>1.9</v>
      </c>
      <c r="P36" s="34">
        <f>N36*1</f>
        <v>1.94</v>
      </c>
      <c r="Q36" s="34">
        <f>O36*1</f>
        <v>1.9</v>
      </c>
      <c r="R36" s="34">
        <f>P36*1</f>
        <v>1.94</v>
      </c>
      <c r="S36" s="55">
        <f>Q36*1</f>
        <v>1.9</v>
      </c>
    </row>
    <row r="37" spans="1:19" s="28" customFormat="1" ht="15.6" hidden="1" outlineLevel="1" x14ac:dyDescent="0.25">
      <c r="A37" s="23"/>
      <c r="B37" s="30" t="s">
        <v>71</v>
      </c>
      <c r="C37" s="25"/>
      <c r="D37" s="34">
        <f>D41</f>
        <v>3.25</v>
      </c>
      <c r="E37" s="34">
        <f>E41</f>
        <v>0</v>
      </c>
      <c r="F37" s="34">
        <f>F41</f>
        <v>0</v>
      </c>
      <c r="G37" s="43">
        <f>F37*0.95</f>
        <v>0</v>
      </c>
      <c r="H37" s="56">
        <v>0</v>
      </c>
      <c r="I37" s="56"/>
      <c r="J37" s="56"/>
      <c r="K37" s="56"/>
      <c r="L37" s="56"/>
      <c r="M37" s="57"/>
      <c r="N37" s="57"/>
      <c r="O37" s="57"/>
      <c r="P37" s="58">
        <f t="shared" ref="P37:P43" si="13">N37*1.015</f>
        <v>0</v>
      </c>
      <c r="Q37" s="58">
        <f t="shared" ref="Q37:Q43" si="14">O37*1.02</f>
        <v>0</v>
      </c>
      <c r="R37" s="58">
        <f t="shared" ref="R37:S43" si="15">P37*1.017</f>
        <v>0</v>
      </c>
      <c r="S37" s="59">
        <f t="shared" si="15"/>
        <v>0</v>
      </c>
    </row>
    <row r="38" spans="1:19" s="28" customFormat="1" ht="15.6" hidden="1" outlineLevel="1" x14ac:dyDescent="0.25">
      <c r="A38" s="23"/>
      <c r="B38" s="30" t="s">
        <v>72</v>
      </c>
      <c r="C38" s="25" t="s">
        <v>73</v>
      </c>
      <c r="D38" s="56">
        <v>8.0000000000000002E-3</v>
      </c>
      <c r="E38" s="56">
        <v>5.0000000000000001E-3</v>
      </c>
      <c r="F38" s="56">
        <v>5.0000000000000001E-3</v>
      </c>
      <c r="G38" s="43">
        <f>F38*0.95</f>
        <v>4.7499999999999999E-3</v>
      </c>
      <c r="H38" s="56">
        <v>4.9779999999999998E-3</v>
      </c>
      <c r="I38" s="56"/>
      <c r="J38" s="56"/>
      <c r="K38" s="56"/>
      <c r="L38" s="56"/>
      <c r="M38" s="57"/>
      <c r="N38" s="57"/>
      <c r="O38" s="57"/>
      <c r="P38" s="58">
        <f t="shared" si="13"/>
        <v>0</v>
      </c>
      <c r="Q38" s="58">
        <f t="shared" si="14"/>
        <v>0</v>
      </c>
      <c r="R38" s="58">
        <f t="shared" si="15"/>
        <v>0</v>
      </c>
      <c r="S38" s="59">
        <f t="shared" si="15"/>
        <v>0</v>
      </c>
    </row>
    <row r="39" spans="1:19" s="28" customFormat="1" ht="15.6" hidden="1" outlineLevel="1" x14ac:dyDescent="0.25">
      <c r="A39" s="31" t="s">
        <v>28</v>
      </c>
      <c r="B39" s="32" t="s">
        <v>74</v>
      </c>
      <c r="C39" s="60" t="s">
        <v>70</v>
      </c>
      <c r="D39" s="61">
        <v>10</v>
      </c>
      <c r="E39" s="61">
        <v>7.5</v>
      </c>
      <c r="F39" s="61">
        <v>7.5</v>
      </c>
      <c r="G39" s="43">
        <v>5.3</v>
      </c>
      <c r="H39" s="56">
        <v>5.5020000000000007</v>
      </c>
      <c r="I39" s="56">
        <v>3</v>
      </c>
      <c r="J39" s="56">
        <v>0</v>
      </c>
      <c r="K39" s="56">
        <v>0</v>
      </c>
      <c r="L39" s="56"/>
      <c r="M39" s="57">
        <v>0</v>
      </c>
      <c r="N39" s="57">
        <v>3</v>
      </c>
      <c r="O39" s="57">
        <v>0</v>
      </c>
      <c r="P39" s="58">
        <f t="shared" si="13"/>
        <v>3.0449999999999999</v>
      </c>
      <c r="Q39" s="58">
        <f t="shared" si="14"/>
        <v>0</v>
      </c>
      <c r="R39" s="58">
        <f t="shared" si="15"/>
        <v>3.0967649999999995</v>
      </c>
      <c r="S39" s="59">
        <f t="shared" si="15"/>
        <v>0</v>
      </c>
    </row>
    <row r="40" spans="1:19" s="28" customFormat="1" ht="15.6" hidden="1" outlineLevel="1" x14ac:dyDescent="0.25">
      <c r="A40" s="31" t="s">
        <v>30</v>
      </c>
      <c r="B40" s="32" t="s">
        <v>75</v>
      </c>
      <c r="C40" s="60" t="s">
        <v>70</v>
      </c>
      <c r="D40" s="61">
        <v>6.5</v>
      </c>
      <c r="E40" s="61">
        <v>8.9</v>
      </c>
      <c r="F40" s="61">
        <v>3.3</v>
      </c>
      <c r="G40" s="43">
        <v>0</v>
      </c>
      <c r="H40" s="56">
        <v>0</v>
      </c>
      <c r="I40" s="56"/>
      <c r="J40" s="56"/>
      <c r="K40" s="57"/>
      <c r="L40" s="57"/>
      <c r="M40" s="57"/>
      <c r="N40" s="57"/>
      <c r="O40" s="57"/>
      <c r="P40" s="58">
        <f t="shared" si="13"/>
        <v>0</v>
      </c>
      <c r="Q40" s="58">
        <f t="shared" si="14"/>
        <v>0</v>
      </c>
      <c r="R40" s="58">
        <f t="shared" si="15"/>
        <v>0</v>
      </c>
      <c r="S40" s="59">
        <f t="shared" si="15"/>
        <v>0</v>
      </c>
    </row>
    <row r="41" spans="1:19" s="28" customFormat="1" ht="15.6" hidden="1" outlineLevel="1" x14ac:dyDescent="0.25">
      <c r="A41" s="31"/>
      <c r="B41" s="32" t="s">
        <v>71</v>
      </c>
      <c r="C41" s="60" t="s">
        <v>70</v>
      </c>
      <c r="D41" s="61">
        <v>3.25</v>
      </c>
      <c r="E41" s="61">
        <v>0</v>
      </c>
      <c r="F41" s="61">
        <v>0</v>
      </c>
      <c r="G41" s="43">
        <f t="shared" ref="G41:G46" si="16">F41*0.95</f>
        <v>0</v>
      </c>
      <c r="H41" s="56">
        <v>0</v>
      </c>
      <c r="I41" s="56"/>
      <c r="J41" s="56"/>
      <c r="K41" s="57"/>
      <c r="L41" s="57"/>
      <c r="M41" s="57"/>
      <c r="N41" s="57"/>
      <c r="O41" s="57"/>
      <c r="P41" s="58">
        <f t="shared" si="13"/>
        <v>0</v>
      </c>
      <c r="Q41" s="58">
        <f t="shared" si="14"/>
        <v>0</v>
      </c>
      <c r="R41" s="58">
        <f t="shared" si="15"/>
        <v>0</v>
      </c>
      <c r="S41" s="59">
        <f t="shared" si="15"/>
        <v>0</v>
      </c>
    </row>
    <row r="42" spans="1:19" s="28" customFormat="1" ht="15.6" hidden="1" outlineLevel="1" x14ac:dyDescent="0.25">
      <c r="A42" s="31" t="s">
        <v>30</v>
      </c>
      <c r="B42" s="32" t="s">
        <v>76</v>
      </c>
      <c r="C42" s="60" t="s">
        <v>70</v>
      </c>
      <c r="D42" s="61">
        <v>26.61</v>
      </c>
      <c r="E42" s="61">
        <v>32.9</v>
      </c>
      <c r="F42" s="61">
        <v>10.9</v>
      </c>
      <c r="G42" s="43">
        <v>10.4</v>
      </c>
      <c r="H42" s="56">
        <v>0</v>
      </c>
      <c r="I42" s="56">
        <v>0</v>
      </c>
      <c r="J42" s="56"/>
      <c r="K42" s="57">
        <v>0</v>
      </c>
      <c r="L42" s="57"/>
      <c r="M42" s="57">
        <v>0</v>
      </c>
      <c r="N42" s="57">
        <v>0</v>
      </c>
      <c r="O42" s="57">
        <v>0</v>
      </c>
      <c r="P42" s="58">
        <f t="shared" si="13"/>
        <v>0</v>
      </c>
      <c r="Q42" s="58">
        <f t="shared" si="14"/>
        <v>0</v>
      </c>
      <c r="R42" s="58">
        <f t="shared" si="15"/>
        <v>0</v>
      </c>
      <c r="S42" s="59">
        <f t="shared" si="15"/>
        <v>0</v>
      </c>
    </row>
    <row r="43" spans="1:19" s="28" customFormat="1" ht="15.6" hidden="1" outlineLevel="1" x14ac:dyDescent="0.25">
      <c r="A43" s="31" t="s">
        <v>35</v>
      </c>
      <c r="B43" s="32" t="s">
        <v>77</v>
      </c>
      <c r="C43" s="60" t="s">
        <v>70</v>
      </c>
      <c r="D43" s="61">
        <v>26</v>
      </c>
      <c r="E43" s="61">
        <v>12.4</v>
      </c>
      <c r="F43" s="61">
        <v>0</v>
      </c>
      <c r="G43" s="43">
        <f t="shared" si="16"/>
        <v>0</v>
      </c>
      <c r="H43" s="56">
        <v>0</v>
      </c>
      <c r="I43" s="56">
        <v>0</v>
      </c>
      <c r="J43" s="56"/>
      <c r="K43" s="57">
        <v>0</v>
      </c>
      <c r="L43" s="57"/>
      <c r="M43" s="57">
        <v>0</v>
      </c>
      <c r="N43" s="57">
        <v>0</v>
      </c>
      <c r="O43" s="57">
        <v>0</v>
      </c>
      <c r="P43" s="58">
        <f t="shared" si="13"/>
        <v>0</v>
      </c>
      <c r="Q43" s="58">
        <f t="shared" si="14"/>
        <v>0</v>
      </c>
      <c r="R43" s="58">
        <f t="shared" si="15"/>
        <v>0</v>
      </c>
      <c r="S43" s="59">
        <f t="shared" si="15"/>
        <v>0</v>
      </c>
    </row>
    <row r="44" spans="1:19" s="28" customFormat="1" ht="15.6" hidden="1" outlineLevel="1" x14ac:dyDescent="0.25">
      <c r="A44" s="31" t="s">
        <v>39</v>
      </c>
      <c r="B44" s="32" t="s">
        <v>78</v>
      </c>
      <c r="C44" s="60"/>
      <c r="D44" s="61"/>
      <c r="E44" s="61"/>
      <c r="F44" s="61"/>
      <c r="G44" s="43">
        <f t="shared" si="16"/>
        <v>0</v>
      </c>
      <c r="H44" s="56">
        <v>0</v>
      </c>
      <c r="I44" s="56"/>
      <c r="J44" s="56"/>
      <c r="K44" s="57"/>
      <c r="L44" s="57"/>
      <c r="M44" s="57"/>
      <c r="N44" s="57"/>
      <c r="O44" s="57"/>
      <c r="P44" s="58">
        <f t="shared" ref="P44:P46" si="17">Q44*0.98</f>
        <v>0</v>
      </c>
      <c r="Q44" s="58">
        <f>O44*1.043</f>
        <v>0</v>
      </c>
      <c r="R44" s="58">
        <f t="shared" ref="R44:R46" si="18">S44*0.98</f>
        <v>0</v>
      </c>
      <c r="S44" s="59">
        <f>Q44*1.043</f>
        <v>0</v>
      </c>
    </row>
    <row r="45" spans="1:19" s="28" customFormat="1" ht="15.6" hidden="1" outlineLevel="1" x14ac:dyDescent="0.25">
      <c r="A45" s="31"/>
      <c r="B45" s="32" t="s">
        <v>79</v>
      </c>
      <c r="C45" s="60" t="s">
        <v>70</v>
      </c>
      <c r="D45" s="61">
        <v>5.6</v>
      </c>
      <c r="E45" s="61">
        <v>2.4</v>
      </c>
      <c r="F45" s="61">
        <v>0</v>
      </c>
      <c r="G45" s="43">
        <f t="shared" si="16"/>
        <v>0</v>
      </c>
      <c r="H45" s="56">
        <v>0</v>
      </c>
      <c r="I45" s="56"/>
      <c r="J45" s="56"/>
      <c r="K45" s="57"/>
      <c r="L45" s="57"/>
      <c r="M45" s="57"/>
      <c r="N45" s="57"/>
      <c r="O45" s="57"/>
      <c r="P45" s="58">
        <f t="shared" si="17"/>
        <v>0</v>
      </c>
      <c r="Q45" s="58">
        <f>O45*1.043</f>
        <v>0</v>
      </c>
      <c r="R45" s="58">
        <f t="shared" si="18"/>
        <v>0</v>
      </c>
      <c r="S45" s="59">
        <f>Q45*1.043</f>
        <v>0</v>
      </c>
    </row>
    <row r="46" spans="1:19" s="28" customFormat="1" ht="15.6" hidden="1" outlineLevel="1" x14ac:dyDescent="0.25">
      <c r="A46" s="31"/>
      <c r="B46" s="32" t="s">
        <v>80</v>
      </c>
      <c r="C46" s="60" t="s">
        <v>73</v>
      </c>
      <c r="D46" s="62">
        <v>8.0000000000000002E-3</v>
      </c>
      <c r="E46" s="62">
        <v>2.3999999999999998E-3</v>
      </c>
      <c r="F46" s="62">
        <v>0</v>
      </c>
      <c r="G46" s="43">
        <f t="shared" si="16"/>
        <v>0</v>
      </c>
      <c r="H46" s="56">
        <v>0</v>
      </c>
      <c r="I46" s="56"/>
      <c r="J46" s="56"/>
      <c r="K46" s="57"/>
      <c r="L46" s="57"/>
      <c r="M46" s="57"/>
      <c r="N46" s="57"/>
      <c r="O46" s="57"/>
      <c r="P46" s="58">
        <f t="shared" si="17"/>
        <v>0</v>
      </c>
      <c r="Q46" s="58">
        <f>O46*1.043</f>
        <v>0</v>
      </c>
      <c r="R46" s="58">
        <f t="shared" si="18"/>
        <v>0</v>
      </c>
      <c r="S46" s="59">
        <f>Q46*1.043</f>
        <v>0</v>
      </c>
    </row>
    <row r="47" spans="1:19" s="28" customFormat="1" ht="15.6" collapsed="1" x14ac:dyDescent="0.25">
      <c r="A47" s="23" t="s">
        <v>49</v>
      </c>
      <c r="B47" s="30" t="s">
        <v>81</v>
      </c>
      <c r="C47" s="25" t="s">
        <v>27</v>
      </c>
      <c r="D47" s="34">
        <f t="shared" ref="D47:G47" si="19">D48+D52</f>
        <v>14062</v>
      </c>
      <c r="E47" s="34">
        <f t="shared" si="19"/>
        <v>11445.2</v>
      </c>
      <c r="F47" s="34">
        <f t="shared" si="19"/>
        <v>9483</v>
      </c>
      <c r="G47" s="29">
        <f t="shared" si="19"/>
        <v>10026.220000000001</v>
      </c>
      <c r="H47" s="34">
        <v>10507.478560000003</v>
      </c>
      <c r="I47" s="34">
        <f t="shared" ref="I47:S47" si="20">I48+I50+I51+I52</f>
        <v>10062</v>
      </c>
      <c r="J47" s="34">
        <f t="shared" si="20"/>
        <v>6119.5</v>
      </c>
      <c r="K47" s="34">
        <f t="shared" si="20"/>
        <v>6686.4369999999999</v>
      </c>
      <c r="L47" s="34">
        <f t="shared" si="20"/>
        <v>5879.45</v>
      </c>
      <c r="M47" s="34">
        <f t="shared" si="20"/>
        <v>6301.4369999999999</v>
      </c>
      <c r="N47" s="34">
        <f t="shared" si="20"/>
        <v>6280.4369999999999</v>
      </c>
      <c r="O47" s="34">
        <f t="shared" si="20"/>
        <v>6210.42263</v>
      </c>
      <c r="P47" s="34">
        <f t="shared" si="20"/>
        <v>6308.4441849999994</v>
      </c>
      <c r="Q47" s="34">
        <f t="shared" si="20"/>
        <v>6208.2134752599995</v>
      </c>
      <c r="R47" s="34">
        <f t="shared" si="20"/>
        <v>6342.2208501099994</v>
      </c>
      <c r="S47" s="55">
        <f t="shared" si="20"/>
        <v>6211.8490156857797</v>
      </c>
    </row>
    <row r="48" spans="1:19" s="28" customFormat="1" ht="15.6" x14ac:dyDescent="0.25">
      <c r="A48" s="31"/>
      <c r="B48" s="32" t="s">
        <v>82</v>
      </c>
      <c r="C48" s="60" t="s">
        <v>27</v>
      </c>
      <c r="D48" s="61">
        <f>D49+D50+D51</f>
        <v>7873.48</v>
      </c>
      <c r="E48" s="61">
        <v>3765.2</v>
      </c>
      <c r="F48" s="61">
        <v>1350</v>
      </c>
      <c r="G48" s="42">
        <f t="shared" ref="G48:H48" si="21">G49+G51</f>
        <v>1079.92</v>
      </c>
      <c r="H48" s="61">
        <f t="shared" si="21"/>
        <v>1131.7561600000001</v>
      </c>
      <c r="I48" s="61">
        <f>I39*350</f>
        <v>1050</v>
      </c>
      <c r="J48" s="61">
        <f>J36*350</f>
        <v>1403.5</v>
      </c>
      <c r="K48" s="61">
        <f>K36*350</f>
        <v>1085</v>
      </c>
      <c r="L48" s="61">
        <f>L36*390</f>
        <v>975</v>
      </c>
      <c r="M48" s="61">
        <f>M36*350</f>
        <v>700</v>
      </c>
      <c r="N48" s="61">
        <f>M48*0.97</f>
        <v>679</v>
      </c>
      <c r="O48" s="61">
        <f>M48*0.95</f>
        <v>665</v>
      </c>
      <c r="P48" s="61">
        <f>N48*1</f>
        <v>679</v>
      </c>
      <c r="Q48" s="61">
        <f>O48*0.98</f>
        <v>651.69999999999993</v>
      </c>
      <c r="R48" s="61">
        <f>P48*1</f>
        <v>679</v>
      </c>
      <c r="S48" s="63">
        <f>Q48*0.98</f>
        <v>638.66599999999994</v>
      </c>
    </row>
    <row r="49" spans="1:20" s="28" customFormat="1" ht="15.6" hidden="1" outlineLevel="1" x14ac:dyDescent="0.25">
      <c r="A49" s="31"/>
      <c r="B49" s="32" t="s">
        <v>79</v>
      </c>
      <c r="C49" s="60" t="s">
        <v>27</v>
      </c>
      <c r="D49" s="61">
        <v>7751.24</v>
      </c>
      <c r="E49" s="61">
        <v>3758.3</v>
      </c>
      <c r="F49" s="61">
        <v>1346.7</v>
      </c>
      <c r="G49" s="42">
        <f>F49*0.8</f>
        <v>1077.3600000000001</v>
      </c>
      <c r="H49" s="61">
        <v>1129.0732800000001</v>
      </c>
      <c r="I49" s="61">
        <v>0</v>
      </c>
      <c r="J49" s="61"/>
      <c r="K49" s="61">
        <v>0</v>
      </c>
      <c r="L49" s="61"/>
      <c r="M49" s="61">
        <v>0</v>
      </c>
      <c r="N49" s="61">
        <v>0</v>
      </c>
      <c r="O49" s="61">
        <v>0</v>
      </c>
      <c r="P49" s="61">
        <f t="shared" ref="P49:P51" si="22">N49*1.015</f>
        <v>0</v>
      </c>
      <c r="Q49" s="61">
        <f t="shared" ref="Q49:Q51" si="23">O49*1.02</f>
        <v>0</v>
      </c>
      <c r="R49" s="61">
        <f t="shared" ref="R49:S51" si="24">P49*1.017</f>
        <v>0</v>
      </c>
      <c r="S49" s="63">
        <f t="shared" si="24"/>
        <v>0</v>
      </c>
    </row>
    <row r="50" spans="1:20" s="28" customFormat="1" ht="15.6" hidden="1" outlineLevel="1" x14ac:dyDescent="0.25">
      <c r="A50" s="31"/>
      <c r="B50" s="32" t="s">
        <v>71</v>
      </c>
      <c r="C50" s="60"/>
      <c r="D50" s="61">
        <v>92.63</v>
      </c>
      <c r="E50" s="61">
        <v>0</v>
      </c>
      <c r="F50" s="61">
        <v>0</v>
      </c>
      <c r="G50" s="42">
        <f>F50*0.95</f>
        <v>0</v>
      </c>
      <c r="H50" s="61">
        <v>0</v>
      </c>
      <c r="I50" s="61">
        <v>0</v>
      </c>
      <c r="J50" s="61"/>
      <c r="K50" s="61">
        <v>0</v>
      </c>
      <c r="L50" s="61"/>
      <c r="M50" s="61">
        <v>0</v>
      </c>
      <c r="N50" s="61">
        <v>0</v>
      </c>
      <c r="O50" s="61">
        <v>0</v>
      </c>
      <c r="P50" s="61">
        <f t="shared" si="22"/>
        <v>0</v>
      </c>
      <c r="Q50" s="61">
        <f t="shared" si="23"/>
        <v>0</v>
      </c>
      <c r="R50" s="61">
        <f t="shared" si="24"/>
        <v>0</v>
      </c>
      <c r="S50" s="63">
        <f t="shared" si="24"/>
        <v>0</v>
      </c>
    </row>
    <row r="51" spans="1:20" s="28" customFormat="1" ht="15.6" hidden="1" outlineLevel="1" x14ac:dyDescent="0.25">
      <c r="A51" s="31"/>
      <c r="B51" s="32" t="s">
        <v>80</v>
      </c>
      <c r="C51" s="60" t="s">
        <v>27</v>
      </c>
      <c r="D51" s="61">
        <v>29.61</v>
      </c>
      <c r="E51" s="61">
        <v>6.9</v>
      </c>
      <c r="F51" s="61">
        <v>3.2</v>
      </c>
      <c r="G51" s="42">
        <f>F51*0.8</f>
        <v>2.5600000000000005</v>
      </c>
      <c r="H51" s="61">
        <v>2.6828800000000008</v>
      </c>
      <c r="I51" s="61">
        <v>0</v>
      </c>
      <c r="J51" s="61"/>
      <c r="K51" s="61">
        <v>0</v>
      </c>
      <c r="L51" s="61"/>
      <c r="M51" s="61">
        <v>0</v>
      </c>
      <c r="N51" s="61">
        <v>0</v>
      </c>
      <c r="O51" s="61">
        <v>0</v>
      </c>
      <c r="P51" s="61">
        <f t="shared" si="22"/>
        <v>0</v>
      </c>
      <c r="Q51" s="61">
        <f t="shared" si="23"/>
        <v>0</v>
      </c>
      <c r="R51" s="61">
        <f t="shared" si="24"/>
        <v>0</v>
      </c>
      <c r="S51" s="63">
        <f t="shared" si="24"/>
        <v>0</v>
      </c>
    </row>
    <row r="52" spans="1:20" s="28" customFormat="1" ht="15.6" collapsed="1" x14ac:dyDescent="0.25">
      <c r="A52" s="31"/>
      <c r="B52" s="32" t="s">
        <v>83</v>
      </c>
      <c r="C52" s="60" t="s">
        <v>27</v>
      </c>
      <c r="D52" s="61">
        <v>6188.52</v>
      </c>
      <c r="E52" s="61">
        <v>7680</v>
      </c>
      <c r="F52" s="61">
        <v>8133</v>
      </c>
      <c r="G52" s="42">
        <f>F52*1.1</f>
        <v>8946.3000000000011</v>
      </c>
      <c r="H52" s="64">
        <v>9375.7224000000024</v>
      </c>
      <c r="I52" s="64">
        <f>I29*40</f>
        <v>9012</v>
      </c>
      <c r="J52" s="64">
        <v>4716</v>
      </c>
      <c r="K52" s="61">
        <v>5601.4369999999999</v>
      </c>
      <c r="L52" s="61">
        <v>4904.45</v>
      </c>
      <c r="M52" s="61">
        <v>5601.4369999999999</v>
      </c>
      <c r="N52" s="64">
        <f>M52*1</f>
        <v>5601.4369999999999</v>
      </c>
      <c r="O52" s="61">
        <f>M52*0.99</f>
        <v>5545.42263</v>
      </c>
      <c r="P52" s="61">
        <f>N52*1.005</f>
        <v>5629.4441849999994</v>
      </c>
      <c r="Q52" s="61">
        <f>O52*1.002</f>
        <v>5556.5134752599997</v>
      </c>
      <c r="R52" s="61">
        <f>P52*1.006</f>
        <v>5663.2208501099994</v>
      </c>
      <c r="S52" s="63">
        <f>Q52*1.003</f>
        <v>5573.1830156857795</v>
      </c>
    </row>
    <row r="53" spans="1:20" s="28" customFormat="1" ht="15.6" x14ac:dyDescent="0.25">
      <c r="A53" s="53" t="s">
        <v>84</v>
      </c>
      <c r="B53" s="65" t="s">
        <v>85</v>
      </c>
      <c r="C53" s="25"/>
      <c r="D53" s="66"/>
      <c r="E53" s="66"/>
      <c r="F53" s="66"/>
      <c r="G53" s="66"/>
      <c r="H53" s="66"/>
      <c r="I53" s="66"/>
      <c r="J53" s="66"/>
      <c r="K53" s="67"/>
      <c r="L53" s="67"/>
      <c r="M53" s="67"/>
      <c r="N53" s="67"/>
      <c r="O53" s="67"/>
      <c r="P53" s="67"/>
      <c r="Q53" s="67"/>
      <c r="R53" s="67"/>
      <c r="S53" s="68"/>
    </row>
    <row r="54" spans="1:20" s="28" customFormat="1" ht="15.6" x14ac:dyDescent="0.25">
      <c r="A54" s="23" t="s">
        <v>25</v>
      </c>
      <c r="B54" s="69" t="s">
        <v>86</v>
      </c>
      <c r="C54" s="25" t="s">
        <v>87</v>
      </c>
      <c r="D54" s="43">
        <f>4.9*1.0014</f>
        <v>4.9068600000000009</v>
      </c>
      <c r="E54" s="43">
        <v>4.2729999999999997</v>
      </c>
      <c r="F54" s="43">
        <v>4.2880000000000003</v>
      </c>
      <c r="G54" s="43">
        <v>4.1239999999999997</v>
      </c>
      <c r="H54" s="43">
        <v>3.5590000000000002</v>
      </c>
      <c r="I54" s="43">
        <v>3.5830000000000002</v>
      </c>
      <c r="J54" s="43">
        <v>3.548</v>
      </c>
      <c r="K54" s="43">
        <v>3.4809999999999999</v>
      </c>
      <c r="L54" s="43">
        <v>3.548</v>
      </c>
      <c r="M54" s="43">
        <v>3.548</v>
      </c>
      <c r="N54" s="43">
        <f>M54*103.9%</f>
        <v>3.6863720000000004</v>
      </c>
      <c r="O54" s="43">
        <f>M54*100.2%</f>
        <v>3.5550960000000003</v>
      </c>
      <c r="P54" s="43">
        <f>N54*100.3%</f>
        <v>3.6974311160000002</v>
      </c>
      <c r="Q54" s="43">
        <f>O54*100.3%</f>
        <v>3.565761288</v>
      </c>
      <c r="R54" s="43">
        <f>P54*100.3%</f>
        <v>3.708523409348</v>
      </c>
      <c r="S54" s="70">
        <f>Q54*100.3%</f>
        <v>3.5764585718639998</v>
      </c>
    </row>
    <row r="55" spans="1:20" s="28" customFormat="1" ht="15.6" x14ac:dyDescent="0.25">
      <c r="A55" s="23" t="s">
        <v>49</v>
      </c>
      <c r="B55" s="69" t="s">
        <v>88</v>
      </c>
      <c r="C55" s="25" t="s">
        <v>87</v>
      </c>
      <c r="D55" s="43"/>
      <c r="E55" s="43"/>
      <c r="F55" s="43"/>
      <c r="G55" s="43">
        <v>0.215</v>
      </c>
      <c r="H55" s="43">
        <v>0.185</v>
      </c>
      <c r="I55" s="43">
        <v>0.14399999999999999</v>
      </c>
      <c r="J55" s="43">
        <v>0.20799999999999999</v>
      </c>
      <c r="K55" s="43">
        <v>0.20799999999999999</v>
      </c>
      <c r="L55" s="43">
        <v>0.26400000000000001</v>
      </c>
      <c r="M55" s="43">
        <v>0.26400000000000001</v>
      </c>
      <c r="N55" s="43">
        <f>M55*105.5%</f>
        <v>0.27851999999999999</v>
      </c>
      <c r="O55" s="43">
        <f>M55*1</f>
        <v>0.26400000000000001</v>
      </c>
      <c r="P55" s="43">
        <f>N55*100.8%</f>
        <v>0.28074815999999997</v>
      </c>
      <c r="Q55" s="43">
        <f>O55*100.8%</f>
        <v>0.26611200000000002</v>
      </c>
      <c r="R55" s="43">
        <f>P55*100.8%</f>
        <v>0.28299414528</v>
      </c>
      <c r="S55" s="70">
        <f>Q55*100.8%</f>
        <v>0.26824089600000001</v>
      </c>
    </row>
    <row r="56" spans="1:20" s="28" customFormat="1" ht="15.6" x14ac:dyDescent="0.25">
      <c r="A56" s="23" t="s">
        <v>56</v>
      </c>
      <c r="B56" s="69" t="s">
        <v>89</v>
      </c>
      <c r="C56" s="25" t="s">
        <v>87</v>
      </c>
      <c r="D56" s="43"/>
      <c r="E56" s="43"/>
      <c r="F56" s="43"/>
      <c r="G56" s="43">
        <v>0.123</v>
      </c>
      <c r="H56" s="43">
        <v>0.27200000000000002</v>
      </c>
      <c r="I56" s="43">
        <v>0.20499999999999999</v>
      </c>
      <c r="J56" s="43">
        <v>0.27600000000000002</v>
      </c>
      <c r="K56" s="43">
        <v>0.26400000000000001</v>
      </c>
      <c r="L56" s="43">
        <v>0.20699999999999999</v>
      </c>
      <c r="M56" s="43">
        <v>0.20699999999999999</v>
      </c>
      <c r="N56" s="43">
        <f>M56*100.5%</f>
        <v>0.20803499999999997</v>
      </c>
      <c r="O56" s="43">
        <f>M56*100.5%</f>
        <v>0.20803499999999997</v>
      </c>
      <c r="P56" s="43">
        <v>0.27200000000000002</v>
      </c>
      <c r="Q56" s="43">
        <f>O56*100.5%</f>
        <v>0.20907517499999995</v>
      </c>
      <c r="R56" s="43">
        <f>P56*0.95</f>
        <v>0.25840000000000002</v>
      </c>
      <c r="S56" s="70">
        <f>Q56*0.95</f>
        <v>0.19862141624999993</v>
      </c>
      <c r="T56" s="28">
        <v>0.16</v>
      </c>
    </row>
    <row r="57" spans="1:20" s="28" customFormat="1" ht="15.6" x14ac:dyDescent="0.25">
      <c r="A57" s="23" t="s">
        <v>59</v>
      </c>
      <c r="B57" s="69" t="s">
        <v>90</v>
      </c>
      <c r="C57" s="25" t="s">
        <v>87</v>
      </c>
      <c r="D57" s="43"/>
      <c r="E57" s="43"/>
      <c r="F57" s="43"/>
      <c r="G57" s="43">
        <v>9.1999999999999998E-2</v>
      </c>
      <c r="H57" s="43">
        <v>-8.6999999999999994E-2</v>
      </c>
      <c r="I57" s="43">
        <v>-6.0999999999999999E-2</v>
      </c>
      <c r="J57" s="43">
        <v>-6.8000000000000005E-2</v>
      </c>
      <c r="K57" s="43">
        <v>-6.7000000000000004E-2</v>
      </c>
      <c r="L57" s="43">
        <f>L55-L56</f>
        <v>5.7000000000000023E-2</v>
      </c>
      <c r="M57" s="71">
        <f>M55-M56</f>
        <v>5.7000000000000023E-2</v>
      </c>
      <c r="N57" s="43">
        <f>N55-N56</f>
        <v>7.048500000000002E-2</v>
      </c>
      <c r="O57" s="43">
        <f t="shared" ref="O57:S57" si="25">O55-O56</f>
        <v>5.5965000000000042E-2</v>
      </c>
      <c r="P57" s="43">
        <f t="shared" si="25"/>
        <v>8.7481599999999493E-3</v>
      </c>
      <c r="Q57" s="43">
        <f t="shared" si="25"/>
        <v>5.7036825000000069E-2</v>
      </c>
      <c r="R57" s="43">
        <f t="shared" si="25"/>
        <v>2.4594145279999979E-2</v>
      </c>
      <c r="S57" s="70">
        <f t="shared" si="25"/>
        <v>6.9619479750000074E-2</v>
      </c>
    </row>
    <row r="58" spans="1:20" s="28" customFormat="1" ht="15.6" x14ac:dyDescent="0.25">
      <c r="A58" s="23" t="s">
        <v>61</v>
      </c>
      <c r="B58" s="69" t="s">
        <v>91</v>
      </c>
      <c r="C58" s="25" t="s">
        <v>87</v>
      </c>
      <c r="D58" s="43"/>
      <c r="E58" s="43"/>
      <c r="F58" s="43"/>
      <c r="G58" s="43">
        <v>0.02</v>
      </c>
      <c r="H58" s="43">
        <v>0.02</v>
      </c>
      <c r="I58" s="43">
        <v>3.4000000000000002E-2</v>
      </c>
      <c r="J58" s="43">
        <v>3.3000000000000002E-2</v>
      </c>
      <c r="K58" s="43">
        <v>1.0999999999999999E-2</v>
      </c>
      <c r="L58" s="43">
        <v>8.9999999999999993E-3</v>
      </c>
      <c r="M58" s="71">
        <f>0.011</f>
        <v>1.0999999999999999E-2</v>
      </c>
      <c r="N58" s="71">
        <v>0.03</v>
      </c>
      <c r="O58" s="71">
        <v>1.4999999999999999E-2</v>
      </c>
      <c r="P58" s="71">
        <f>N58*1.02</f>
        <v>3.0599999999999999E-2</v>
      </c>
      <c r="Q58" s="71">
        <v>2.8000000000000001E-2</v>
      </c>
      <c r="R58" s="71">
        <v>3.7999999999999999E-2</v>
      </c>
      <c r="S58" s="72">
        <v>2.8000000000000001E-2</v>
      </c>
    </row>
    <row r="59" spans="1:20" s="28" customFormat="1" ht="15.6" x14ac:dyDescent="0.25">
      <c r="A59" s="53" t="s">
        <v>92</v>
      </c>
      <c r="B59" s="65" t="s">
        <v>93</v>
      </c>
      <c r="C59" s="25"/>
      <c r="D59" s="66">
        <f t="shared" ref="D59:F59" si="26">D60+D61</f>
        <v>3.3200000000000003</v>
      </c>
      <c r="E59" s="66">
        <f t="shared" si="26"/>
        <v>3.3140000000000001</v>
      </c>
      <c r="F59" s="66">
        <f t="shared" si="26"/>
        <v>3.319</v>
      </c>
      <c r="G59" s="66"/>
      <c r="H59" s="66"/>
      <c r="I59" s="66"/>
      <c r="J59" s="66"/>
      <c r="K59" s="67"/>
      <c r="L59" s="67"/>
      <c r="M59" s="67"/>
      <c r="N59" s="67"/>
      <c r="O59" s="67"/>
      <c r="P59" s="73"/>
      <c r="Q59" s="73"/>
      <c r="R59" s="73"/>
      <c r="S59" s="74"/>
    </row>
    <row r="60" spans="1:20" s="28" customFormat="1" ht="15.6" x14ac:dyDescent="0.25">
      <c r="A60" s="23" t="s">
        <v>25</v>
      </c>
      <c r="B60" s="69" t="s">
        <v>94</v>
      </c>
      <c r="C60" s="25" t="s">
        <v>87</v>
      </c>
      <c r="D60" s="43">
        <v>3.2440000000000002</v>
      </c>
      <c r="E60" s="43">
        <v>3.2690000000000001</v>
      </c>
      <c r="F60" s="43">
        <v>3.274</v>
      </c>
      <c r="G60" s="43">
        <v>3.1869999999999998</v>
      </c>
      <c r="H60" s="43">
        <v>3.274</v>
      </c>
      <c r="I60" s="43">
        <v>3.1269999999999998</v>
      </c>
      <c r="J60" s="71">
        <v>2.21</v>
      </c>
      <c r="K60" s="71">
        <v>2.2629999999999999</v>
      </c>
      <c r="L60" s="71">
        <v>1.7869999999999999</v>
      </c>
      <c r="M60" s="71">
        <v>1.7</v>
      </c>
      <c r="N60" s="71">
        <f>M60*1.005</f>
        <v>1.7084999999999997</v>
      </c>
      <c r="O60" s="71">
        <f>M60*1</f>
        <v>1.7</v>
      </c>
      <c r="P60" s="71">
        <f>N60*1.003</f>
        <v>1.7136254999999996</v>
      </c>
      <c r="Q60" s="71">
        <f>O60*1</f>
        <v>1.7</v>
      </c>
      <c r="R60" s="71">
        <f>P60*1.005</f>
        <v>1.7221936274999994</v>
      </c>
      <c r="S60" s="72">
        <f>Q60*1.001</f>
        <v>1.7016999999999998</v>
      </c>
    </row>
    <row r="61" spans="1:20" s="28" customFormat="1" ht="31.2" x14ac:dyDescent="0.25">
      <c r="A61" s="23" t="s">
        <v>49</v>
      </c>
      <c r="B61" s="69" t="s">
        <v>95</v>
      </c>
      <c r="C61" s="25" t="s">
        <v>87</v>
      </c>
      <c r="D61" s="43">
        <v>7.5999999999999998E-2</v>
      </c>
      <c r="E61" s="43">
        <v>4.4999999999999998E-2</v>
      </c>
      <c r="F61" s="43">
        <v>4.4999999999999998E-2</v>
      </c>
      <c r="G61" s="43">
        <v>2.5999999999999999E-2</v>
      </c>
      <c r="H61" s="43">
        <v>0.03</v>
      </c>
      <c r="I61" s="43">
        <v>2.5999999999999999E-2</v>
      </c>
      <c r="J61" s="43">
        <v>2.3E-2</v>
      </c>
      <c r="K61" s="43">
        <v>1.7999999999999999E-2</v>
      </c>
      <c r="L61" s="43">
        <v>7.3999999999999996E-2</v>
      </c>
      <c r="M61" s="71">
        <v>3.9E-2</v>
      </c>
      <c r="N61" s="71">
        <v>3.5000000000000003E-2</v>
      </c>
      <c r="O61" s="71">
        <v>4.4999999999999998E-2</v>
      </c>
      <c r="P61" s="71">
        <v>0.03</v>
      </c>
      <c r="Q61" s="71">
        <v>3.5000000000000003E-2</v>
      </c>
      <c r="R61" s="71">
        <v>2.8000000000000001E-2</v>
      </c>
      <c r="S61" s="72">
        <v>0.03</v>
      </c>
    </row>
    <row r="62" spans="1:20" s="28" customFormat="1" ht="15.6" x14ac:dyDescent="0.25">
      <c r="A62" s="23" t="s">
        <v>56</v>
      </c>
      <c r="B62" s="69" t="s">
        <v>96</v>
      </c>
      <c r="C62" s="25" t="s">
        <v>97</v>
      </c>
      <c r="D62" s="43"/>
      <c r="E62" s="43"/>
      <c r="F62" s="43"/>
      <c r="G62" s="43">
        <v>1440.23</v>
      </c>
      <c r="H62" s="43">
        <v>1495.85</v>
      </c>
      <c r="I62" s="43">
        <v>1741.2260000000001</v>
      </c>
      <c r="J62" s="43">
        <v>2002.41</v>
      </c>
      <c r="K62" s="43">
        <v>2031.431</v>
      </c>
      <c r="L62" s="71">
        <v>1950.0329999999999</v>
      </c>
      <c r="M62" s="71">
        <v>1950.0329999999999</v>
      </c>
      <c r="N62" s="71">
        <f>M62*101%</f>
        <v>1969.53333</v>
      </c>
      <c r="O62" s="71">
        <f>M62*108%</f>
        <v>2106.0356400000001</v>
      </c>
      <c r="P62" s="71">
        <f>N62*106%</f>
        <v>2087.7053298000001</v>
      </c>
      <c r="Q62" s="71">
        <f>O62*103%</f>
        <v>2169.2167092</v>
      </c>
      <c r="R62" s="71">
        <f>P62*102%</f>
        <v>2129.459436396</v>
      </c>
      <c r="S62" s="72">
        <f>Q62*102%</f>
        <v>2212.6010433840001</v>
      </c>
    </row>
    <row r="63" spans="1:20" s="28" customFormat="1" ht="15.6" x14ac:dyDescent="0.25">
      <c r="A63" s="23" t="s">
        <v>59</v>
      </c>
      <c r="B63" s="69" t="s">
        <v>98</v>
      </c>
      <c r="C63" s="25" t="s">
        <v>97</v>
      </c>
      <c r="D63" s="43"/>
      <c r="E63" s="43"/>
      <c r="F63" s="43"/>
      <c r="G63" s="43"/>
      <c r="H63" s="43"/>
      <c r="I63" s="43"/>
      <c r="J63" s="43">
        <v>1413.8340000000001</v>
      </c>
      <c r="K63" s="43">
        <v>1500.8579999999999</v>
      </c>
      <c r="L63" s="43">
        <v>1233.2329999999999</v>
      </c>
      <c r="M63" s="43">
        <v>1233.2329999999999</v>
      </c>
      <c r="N63" s="71">
        <v>1265.5899999999999</v>
      </c>
      <c r="O63" s="71">
        <v>1200.0999999999999</v>
      </c>
      <c r="P63" s="71">
        <f>N63*1.02</f>
        <v>1290.9017999999999</v>
      </c>
      <c r="Q63" s="71">
        <f>O63*1.02</f>
        <v>1224.1019999999999</v>
      </c>
      <c r="R63" s="71">
        <f>P63*1.03</f>
        <v>1329.6288539999998</v>
      </c>
      <c r="S63" s="72">
        <f>Q63*1.02</f>
        <v>1248.58404</v>
      </c>
    </row>
    <row r="64" spans="1:20" s="28" customFormat="1" ht="15.6" x14ac:dyDescent="0.25">
      <c r="A64" s="23" t="s">
        <v>61</v>
      </c>
      <c r="B64" s="69" t="s">
        <v>99</v>
      </c>
      <c r="C64" s="25" t="s">
        <v>100</v>
      </c>
      <c r="D64" s="43"/>
      <c r="E64" s="43"/>
      <c r="F64" s="43"/>
      <c r="G64" s="43">
        <v>37.658999999999999</v>
      </c>
      <c r="H64" s="43">
        <v>38.073999999999998</v>
      </c>
      <c r="I64" s="43">
        <v>46.402999999999999</v>
      </c>
      <c r="J64" s="43">
        <v>53.311999999999998</v>
      </c>
      <c r="K64" s="43">
        <f>K63/K60/12</f>
        <v>55.268007070260715</v>
      </c>
      <c r="L64" s="43">
        <v>57.526000000000003</v>
      </c>
      <c r="M64" s="71">
        <f>M63/M60/12</f>
        <v>60.45259803921568</v>
      </c>
      <c r="N64" s="71">
        <f>N63/N60/12</f>
        <v>61.73007511462297</v>
      </c>
      <c r="O64" s="71">
        <f>O63/O60/12</f>
        <v>58.828431372549012</v>
      </c>
      <c r="P64" s="71">
        <f t="shared" ref="P64:S64" si="27">P63/P60/12</f>
        <v>62.776347574192847</v>
      </c>
      <c r="Q64" s="71">
        <f t="shared" si="27"/>
        <v>60.004999999999995</v>
      </c>
      <c r="R64" s="71">
        <f t="shared" si="27"/>
        <v>64.337948260118054</v>
      </c>
      <c r="S64" s="72">
        <f t="shared" si="27"/>
        <v>61.143956043956052</v>
      </c>
    </row>
    <row r="65" spans="1:19" s="28" customFormat="1" ht="15.6" x14ac:dyDescent="0.25">
      <c r="A65" s="53" t="s">
        <v>101</v>
      </c>
      <c r="B65" s="75" t="s">
        <v>102</v>
      </c>
      <c r="C65" s="76"/>
      <c r="D65" s="43"/>
      <c r="E65" s="43"/>
      <c r="F65" s="43"/>
      <c r="G65" s="43"/>
      <c r="H65" s="43"/>
      <c r="I65" s="43"/>
      <c r="J65" s="77">
        <v>53.311999999999998</v>
      </c>
      <c r="K65" s="77">
        <v>55.268000000000001</v>
      </c>
      <c r="L65" s="77"/>
      <c r="M65" s="44"/>
      <c r="N65" s="44"/>
      <c r="O65" s="44"/>
      <c r="P65" s="44"/>
      <c r="Q65" s="44"/>
      <c r="R65" s="44"/>
      <c r="S65" s="45"/>
    </row>
    <row r="66" spans="1:19" s="28" customFormat="1" ht="15.6" x14ac:dyDescent="0.25">
      <c r="A66" s="78" t="s">
        <v>25</v>
      </c>
      <c r="B66" s="32" t="s">
        <v>103</v>
      </c>
      <c r="C66" s="79" t="s">
        <v>104</v>
      </c>
      <c r="D66" s="43"/>
      <c r="E66" s="43"/>
      <c r="F66" s="43"/>
      <c r="G66" s="43"/>
      <c r="H66" s="43"/>
      <c r="I66" s="43">
        <f>I67+I75</f>
        <v>130.608</v>
      </c>
      <c r="J66" s="43">
        <f t="shared" ref="J66:S66" si="28">J67+J75</f>
        <v>128.39699999999999</v>
      </c>
      <c r="K66" s="71">
        <f t="shared" si="28"/>
        <v>119.50700000000001</v>
      </c>
      <c r="L66" s="71">
        <f t="shared" si="28"/>
        <v>130.50700000000001</v>
      </c>
      <c r="M66" s="71">
        <f t="shared" si="28"/>
        <v>107.9</v>
      </c>
      <c r="N66" s="71">
        <f t="shared" si="28"/>
        <v>107.48891999999998</v>
      </c>
      <c r="O66" s="71">
        <f t="shared" si="28"/>
        <v>105.903257</v>
      </c>
      <c r="P66" s="71">
        <f t="shared" si="28"/>
        <v>108.40681839999999</v>
      </c>
      <c r="Q66" s="71">
        <f t="shared" si="28"/>
        <v>106.087147875</v>
      </c>
      <c r="R66" s="71">
        <f t="shared" si="28"/>
        <v>108.825461768</v>
      </c>
      <c r="S66" s="72">
        <f t="shared" si="28"/>
        <v>106.693082656805</v>
      </c>
    </row>
    <row r="67" spans="1:19" s="28" customFormat="1" ht="15.6" x14ac:dyDescent="0.25">
      <c r="A67" s="78" t="s">
        <v>28</v>
      </c>
      <c r="B67" s="80" t="s">
        <v>105</v>
      </c>
      <c r="C67" s="79" t="s">
        <v>104</v>
      </c>
      <c r="D67" s="43"/>
      <c r="E67" s="43"/>
      <c r="F67" s="43"/>
      <c r="G67" s="43"/>
      <c r="H67" s="43"/>
      <c r="I67" s="43">
        <f>I68+I74</f>
        <v>39.332999999999998</v>
      </c>
      <c r="J67" s="43">
        <f t="shared" ref="J67:S67" si="29">J68+J74</f>
        <v>42.494</v>
      </c>
      <c r="K67" s="71">
        <f t="shared" si="29"/>
        <v>44.304000000000002</v>
      </c>
      <c r="L67" s="71">
        <f t="shared" si="29"/>
        <v>40.704999999999998</v>
      </c>
      <c r="M67" s="71">
        <f t="shared" si="29"/>
        <v>39.457000000000008</v>
      </c>
      <c r="N67" s="71">
        <f t="shared" si="29"/>
        <v>39.080919999999999</v>
      </c>
      <c r="O67" s="71">
        <f t="shared" si="29"/>
        <v>38.590800000000002</v>
      </c>
      <c r="P67" s="71">
        <f t="shared" si="29"/>
        <v>39.984818399999995</v>
      </c>
      <c r="Q67" s="71">
        <f t="shared" si="29"/>
        <v>38.774470000000001</v>
      </c>
      <c r="R67" s="71">
        <f t="shared" si="29"/>
        <v>40.403461768</v>
      </c>
      <c r="S67" s="72">
        <f t="shared" si="29"/>
        <v>39.40050007968</v>
      </c>
    </row>
    <row r="68" spans="1:19" s="28" customFormat="1" ht="15.6" x14ac:dyDescent="0.25">
      <c r="A68" s="78" t="s">
        <v>106</v>
      </c>
      <c r="B68" s="32" t="s">
        <v>107</v>
      </c>
      <c r="C68" s="79" t="s">
        <v>104</v>
      </c>
      <c r="D68" s="43"/>
      <c r="E68" s="43"/>
      <c r="F68" s="43"/>
      <c r="G68" s="43"/>
      <c r="H68" s="43"/>
      <c r="I68" s="43">
        <f>SUM(I69:I73)</f>
        <v>30.017999999999997</v>
      </c>
      <c r="J68" s="43">
        <f t="shared" ref="J68:S68" si="30">SUM(J69:J73)</f>
        <v>32.369</v>
      </c>
      <c r="K68" s="71">
        <f t="shared" si="30"/>
        <v>36.539000000000001</v>
      </c>
      <c r="L68" s="71">
        <f t="shared" si="30"/>
        <v>32.738999999999997</v>
      </c>
      <c r="M68" s="71">
        <f t="shared" si="30"/>
        <v>32.461000000000006</v>
      </c>
      <c r="N68" s="71">
        <f t="shared" si="30"/>
        <v>31.944999999999997</v>
      </c>
      <c r="O68" s="71">
        <f t="shared" si="30"/>
        <v>31.524839999999998</v>
      </c>
      <c r="P68" s="71">
        <f t="shared" si="30"/>
        <v>32.706179999999996</v>
      </c>
      <c r="Q68" s="71">
        <f t="shared" si="30"/>
        <v>31.637850400000001</v>
      </c>
      <c r="R68" s="71">
        <f t="shared" si="30"/>
        <v>32.9792506</v>
      </c>
      <c r="S68" s="72">
        <f t="shared" si="30"/>
        <v>31.902046800000001</v>
      </c>
    </row>
    <row r="69" spans="1:19" s="28" customFormat="1" ht="15.6" x14ac:dyDescent="0.25">
      <c r="A69" s="78"/>
      <c r="B69" s="81" t="s">
        <v>108</v>
      </c>
      <c r="C69" s="79" t="s">
        <v>104</v>
      </c>
      <c r="D69" s="43"/>
      <c r="E69" s="43"/>
      <c r="F69" s="43"/>
      <c r="G69" s="43"/>
      <c r="H69" s="43"/>
      <c r="I69" s="43">
        <v>22.670999999999999</v>
      </c>
      <c r="J69" s="43">
        <v>25.16</v>
      </c>
      <c r="K69" s="71">
        <v>29.074000000000002</v>
      </c>
      <c r="L69" s="71">
        <v>25.425999999999998</v>
      </c>
      <c r="M69" s="71">
        <v>25.8</v>
      </c>
      <c r="N69" s="71">
        <f>M69*98%</f>
        <v>25.283999999999999</v>
      </c>
      <c r="O69" s="71">
        <f>M69*0.97</f>
        <v>25.026</v>
      </c>
      <c r="P69" s="71">
        <f>M69*100.7/100</f>
        <v>25.980599999999999</v>
      </c>
      <c r="Q69" s="71">
        <f>O69*100.2/100</f>
        <v>25.076052000000001</v>
      </c>
      <c r="R69" s="71">
        <f>P69*100.8/100</f>
        <v>26.188444799999999</v>
      </c>
      <c r="S69" s="72">
        <f>Q69*100.8/100</f>
        <v>25.276660415999999</v>
      </c>
    </row>
    <row r="70" spans="1:19" s="28" customFormat="1" ht="15.6" x14ac:dyDescent="0.25">
      <c r="A70" s="78"/>
      <c r="B70" s="81" t="s">
        <v>109</v>
      </c>
      <c r="C70" s="79" t="s">
        <v>104</v>
      </c>
      <c r="D70" s="43"/>
      <c r="E70" s="43"/>
      <c r="F70" s="43"/>
      <c r="G70" s="43"/>
      <c r="H70" s="43"/>
      <c r="I70" s="43">
        <v>4.6040000000000001</v>
      </c>
      <c r="J70" s="43">
        <v>4.96</v>
      </c>
      <c r="K70" s="71">
        <v>4.5659999999999998</v>
      </c>
      <c r="L70" s="71">
        <v>4.1849999999999996</v>
      </c>
      <c r="M70" s="71">
        <v>4.2080000000000002</v>
      </c>
      <c r="N70" s="71">
        <f>M70</f>
        <v>4.2080000000000002</v>
      </c>
      <c r="O70" s="71">
        <f>M70*98%</f>
        <v>4.1238400000000004</v>
      </c>
      <c r="P70" s="71">
        <f t="shared" ref="P70:S71" si="31">N70*101%</f>
        <v>4.2500800000000005</v>
      </c>
      <c r="Q70" s="71">
        <f t="shared" si="31"/>
        <v>4.1650784000000005</v>
      </c>
      <c r="R70" s="71">
        <f t="shared" si="31"/>
        <v>4.2925808000000005</v>
      </c>
      <c r="S70" s="72">
        <f t="shared" si="31"/>
        <v>4.2067291840000003</v>
      </c>
    </row>
    <row r="71" spans="1:19" s="28" customFormat="1" ht="15.6" x14ac:dyDescent="0.25">
      <c r="A71" s="78"/>
      <c r="B71" s="81" t="s">
        <v>110</v>
      </c>
      <c r="C71" s="79" t="s">
        <v>104</v>
      </c>
      <c r="D71" s="43"/>
      <c r="E71" s="43"/>
      <c r="F71" s="43"/>
      <c r="G71" s="43"/>
      <c r="H71" s="43"/>
      <c r="I71" s="43">
        <v>0.755</v>
      </c>
      <c r="J71" s="43">
        <v>0.89700000000000002</v>
      </c>
      <c r="K71" s="71">
        <v>1.3129999999999999</v>
      </c>
      <c r="L71" s="71">
        <v>1.5329999999999999</v>
      </c>
      <c r="M71" s="71">
        <v>1.1000000000000001</v>
      </c>
      <c r="N71" s="71">
        <f>M71</f>
        <v>1.1000000000000001</v>
      </c>
      <c r="O71" s="71">
        <f>M71*95%</f>
        <v>1.0449999999999999</v>
      </c>
      <c r="P71" s="71">
        <f t="shared" si="31"/>
        <v>1.1110000000000002</v>
      </c>
      <c r="Q71" s="71">
        <f t="shared" si="31"/>
        <v>1.05545</v>
      </c>
      <c r="R71" s="71">
        <f t="shared" si="31"/>
        <v>1.1221100000000002</v>
      </c>
      <c r="S71" s="72">
        <f t="shared" si="31"/>
        <v>1.0660045</v>
      </c>
    </row>
    <row r="72" spans="1:19" s="28" customFormat="1" ht="15.6" x14ac:dyDescent="0.25">
      <c r="A72" s="78"/>
      <c r="B72" s="81" t="s">
        <v>111</v>
      </c>
      <c r="C72" s="79" t="s">
        <v>104</v>
      </c>
      <c r="D72" s="43"/>
      <c r="E72" s="43"/>
      <c r="F72" s="43"/>
      <c r="G72" s="43"/>
      <c r="H72" s="43"/>
      <c r="I72" s="43">
        <v>0</v>
      </c>
      <c r="J72" s="43">
        <v>0</v>
      </c>
      <c r="K72" s="71">
        <v>0</v>
      </c>
      <c r="L72" s="71">
        <v>0.20799999999999999</v>
      </c>
      <c r="M72" s="71">
        <v>0.20300000000000001</v>
      </c>
      <c r="N72" s="71">
        <v>0.20300000000000001</v>
      </c>
      <c r="O72" s="71">
        <f>M72*1</f>
        <v>0.20300000000000001</v>
      </c>
      <c r="P72" s="71">
        <f>N72*1</f>
        <v>0.20300000000000001</v>
      </c>
      <c r="Q72" s="71">
        <f>O72*1</f>
        <v>0.20300000000000001</v>
      </c>
      <c r="R72" s="71">
        <f>P72*1</f>
        <v>0.20300000000000001</v>
      </c>
      <c r="S72" s="72">
        <f>Q72*1</f>
        <v>0.20300000000000001</v>
      </c>
    </row>
    <row r="73" spans="1:19" s="28" customFormat="1" ht="15.6" x14ac:dyDescent="0.25">
      <c r="A73" s="78"/>
      <c r="B73" s="81" t="s">
        <v>112</v>
      </c>
      <c r="C73" s="79" t="s">
        <v>104</v>
      </c>
      <c r="D73" s="43"/>
      <c r="E73" s="43"/>
      <c r="F73" s="43"/>
      <c r="G73" s="43"/>
      <c r="H73" s="43"/>
      <c r="I73" s="43">
        <v>1.988</v>
      </c>
      <c r="J73" s="43">
        <v>1.3520000000000001</v>
      </c>
      <c r="K73" s="71">
        <v>1.5860000000000001</v>
      </c>
      <c r="L73" s="71">
        <v>1.387</v>
      </c>
      <c r="M73" s="71">
        <v>1.1499999999999999</v>
      </c>
      <c r="N73" s="71">
        <f>M73</f>
        <v>1.1499999999999999</v>
      </c>
      <c r="O73" s="71">
        <f>M73*0.98</f>
        <v>1.127</v>
      </c>
      <c r="P73" s="71">
        <f>N73*101%</f>
        <v>1.1615</v>
      </c>
      <c r="Q73" s="71">
        <f>O73*101%</f>
        <v>1.1382700000000001</v>
      </c>
      <c r="R73" s="71">
        <f>P73*101%</f>
        <v>1.1731149999999999</v>
      </c>
      <c r="S73" s="72">
        <f>Q73*101%</f>
        <v>1.1496527000000001</v>
      </c>
    </row>
    <row r="74" spans="1:19" s="28" customFormat="1" ht="15.6" x14ac:dyDescent="0.25">
      <c r="A74" s="78" t="s">
        <v>113</v>
      </c>
      <c r="B74" s="32" t="s">
        <v>114</v>
      </c>
      <c r="C74" s="79" t="s">
        <v>104</v>
      </c>
      <c r="D74" s="43"/>
      <c r="E74" s="43"/>
      <c r="F74" s="43"/>
      <c r="G74" s="43"/>
      <c r="H74" s="43"/>
      <c r="I74" s="43">
        <v>9.3149999999999995</v>
      </c>
      <c r="J74" s="43">
        <v>10.125</v>
      </c>
      <c r="K74" s="71">
        <v>7.7649999999999997</v>
      </c>
      <c r="L74" s="71">
        <v>7.9660000000000002</v>
      </c>
      <c r="M74" s="71">
        <v>6.9960000000000004</v>
      </c>
      <c r="N74" s="71">
        <f>M74*102%</f>
        <v>7.1359200000000005</v>
      </c>
      <c r="O74" s="71">
        <f>M74*101%</f>
        <v>7.0659600000000005</v>
      </c>
      <c r="P74" s="71">
        <f>N74*102%</f>
        <v>7.2786384000000011</v>
      </c>
      <c r="Q74" s="71">
        <f>O74*101%</f>
        <v>7.1366196000000004</v>
      </c>
      <c r="R74" s="71">
        <f>P74*102%</f>
        <v>7.4242111680000011</v>
      </c>
      <c r="S74" s="72">
        <f>R74*101%</f>
        <v>7.4984532796800014</v>
      </c>
    </row>
    <row r="75" spans="1:19" s="28" customFormat="1" ht="15.6" x14ac:dyDescent="0.25">
      <c r="A75" s="78" t="s">
        <v>30</v>
      </c>
      <c r="B75" s="80" t="s">
        <v>115</v>
      </c>
      <c r="C75" s="79" t="s">
        <v>104</v>
      </c>
      <c r="D75" s="43"/>
      <c r="E75" s="43"/>
      <c r="F75" s="43"/>
      <c r="G75" s="43"/>
      <c r="H75" s="43"/>
      <c r="I75" s="43">
        <f t="shared" ref="I75:S75" si="32">SUM(I76:I78)</f>
        <v>91.275000000000006</v>
      </c>
      <c r="J75" s="43">
        <f t="shared" si="32"/>
        <v>85.903000000000006</v>
      </c>
      <c r="K75" s="71">
        <f t="shared" ref="K75:M75" si="33">SUM(K76:K78)</f>
        <v>75.203000000000003</v>
      </c>
      <c r="L75" s="71">
        <f>SUM(L76:L78)+0.126</f>
        <v>89.802000000000007</v>
      </c>
      <c r="M75" s="71">
        <f t="shared" si="33"/>
        <v>68.442999999999998</v>
      </c>
      <c r="N75" s="71">
        <f t="shared" si="32"/>
        <v>68.407999999999987</v>
      </c>
      <c r="O75" s="71">
        <f t="shared" si="32"/>
        <v>67.312456999999995</v>
      </c>
      <c r="P75" s="71">
        <f t="shared" si="32"/>
        <v>68.421999999999997</v>
      </c>
      <c r="Q75" s="71">
        <f t="shared" si="32"/>
        <v>67.312677874999991</v>
      </c>
      <c r="R75" s="71">
        <f t="shared" si="32"/>
        <v>68.421999999999997</v>
      </c>
      <c r="S75" s="72">
        <f t="shared" si="32"/>
        <v>67.292582577125003</v>
      </c>
    </row>
    <row r="76" spans="1:19" s="28" customFormat="1" ht="15.6" x14ac:dyDescent="0.25">
      <c r="A76" s="78"/>
      <c r="B76" s="81" t="s">
        <v>116</v>
      </c>
      <c r="C76" s="79" t="s">
        <v>104</v>
      </c>
      <c r="D76" s="43"/>
      <c r="E76" s="43"/>
      <c r="F76" s="43"/>
      <c r="G76" s="43"/>
      <c r="H76" s="43"/>
      <c r="I76" s="43">
        <v>11.375999999999999</v>
      </c>
      <c r="J76" s="43">
        <v>18.137</v>
      </c>
      <c r="K76" s="71">
        <v>20.797999999999998</v>
      </c>
      <c r="L76" s="71">
        <v>32.329000000000001</v>
      </c>
      <c r="M76" s="71">
        <v>19.672999999999998</v>
      </c>
      <c r="N76" s="71">
        <f>M76</f>
        <v>19.672999999999998</v>
      </c>
      <c r="O76" s="71">
        <f>N76*99.9%</f>
        <v>19.653327000000001</v>
      </c>
      <c r="P76" s="71">
        <f>N76</f>
        <v>19.672999999999998</v>
      </c>
      <c r="Q76" s="71">
        <f>O76*1</f>
        <v>19.653327000000001</v>
      </c>
      <c r="R76" s="71">
        <f>P76*100/100</f>
        <v>19.672999999999998</v>
      </c>
      <c r="S76" s="72">
        <f>Q76*99.9/100</f>
        <v>19.633673673000004</v>
      </c>
    </row>
    <row r="77" spans="1:19" s="28" customFormat="1" ht="15.6" x14ac:dyDescent="0.25">
      <c r="A77" s="78"/>
      <c r="B77" s="81" t="s">
        <v>117</v>
      </c>
      <c r="C77" s="79" t="s">
        <v>104</v>
      </c>
      <c r="D77" s="43"/>
      <c r="E77" s="43"/>
      <c r="F77" s="43"/>
      <c r="G77" s="43"/>
      <c r="H77" s="43"/>
      <c r="I77" s="43">
        <v>0.71899999999999997</v>
      </c>
      <c r="J77" s="43">
        <v>0.86399999999999999</v>
      </c>
      <c r="K77" s="71">
        <v>0.63700000000000001</v>
      </c>
      <c r="L77" s="71">
        <v>0.71599999999999997</v>
      </c>
      <c r="M77" s="71">
        <v>0.58899999999999997</v>
      </c>
      <c r="N77" s="71">
        <v>0.55400000000000005</v>
      </c>
      <c r="O77" s="71">
        <f>M77*75%</f>
        <v>0.44174999999999998</v>
      </c>
      <c r="P77" s="71">
        <v>0.56799999999999995</v>
      </c>
      <c r="Q77" s="71">
        <f>O77*100.05/100</f>
        <v>0.44197087499999993</v>
      </c>
      <c r="R77" s="71">
        <f>P77*100/100</f>
        <v>0.56799999999999995</v>
      </c>
      <c r="S77" s="72">
        <f>Q77*99.9/100</f>
        <v>0.4415289041249999</v>
      </c>
    </row>
    <row r="78" spans="1:19" s="28" customFormat="1" ht="15.6" x14ac:dyDescent="0.25">
      <c r="A78" s="78"/>
      <c r="B78" s="81" t="s">
        <v>118</v>
      </c>
      <c r="C78" s="79" t="s">
        <v>104</v>
      </c>
      <c r="D78" s="43"/>
      <c r="E78" s="43"/>
      <c r="F78" s="43"/>
      <c r="G78" s="43"/>
      <c r="H78" s="43"/>
      <c r="I78" s="43">
        <v>79.180000000000007</v>
      </c>
      <c r="J78" s="43">
        <v>66.902000000000001</v>
      </c>
      <c r="K78" s="71">
        <v>53.768000000000001</v>
      </c>
      <c r="L78" s="71">
        <v>56.631</v>
      </c>
      <c r="M78" s="71">
        <v>48.180999999999997</v>
      </c>
      <c r="N78" s="71">
        <f>M78</f>
        <v>48.180999999999997</v>
      </c>
      <c r="O78" s="71">
        <f>N78*98%</f>
        <v>47.217379999999999</v>
      </c>
      <c r="P78" s="71">
        <f>N78</f>
        <v>48.180999999999997</v>
      </c>
      <c r="Q78" s="71">
        <f>O78</f>
        <v>47.217379999999999</v>
      </c>
      <c r="R78" s="71">
        <f>P78*100%</f>
        <v>48.180999999999997</v>
      </c>
      <c r="S78" s="72">
        <f>Q78</f>
        <v>47.217379999999999</v>
      </c>
    </row>
    <row r="79" spans="1:19" s="28" customFormat="1" ht="31.2" x14ac:dyDescent="0.25">
      <c r="A79" s="78" t="s">
        <v>49</v>
      </c>
      <c r="B79" s="32" t="s">
        <v>119</v>
      </c>
      <c r="C79" s="79" t="s">
        <v>104</v>
      </c>
      <c r="D79" s="43"/>
      <c r="E79" s="43"/>
      <c r="F79" s="43"/>
      <c r="G79" s="43"/>
      <c r="H79" s="43"/>
      <c r="I79" s="43">
        <f>SUM(I80:I89)</f>
        <v>127.63700000000001</v>
      </c>
      <c r="J79" s="43">
        <f t="shared" ref="J79:S79" si="34">SUM(J80:J89)</f>
        <v>129.256</v>
      </c>
      <c r="K79" s="71">
        <f t="shared" si="34"/>
        <v>122.46000000000001</v>
      </c>
      <c r="L79" s="71">
        <f t="shared" si="34"/>
        <v>130.02799999999999</v>
      </c>
      <c r="M79" s="71">
        <f t="shared" si="34"/>
        <v>114.834</v>
      </c>
      <c r="N79" s="71">
        <f t="shared" si="34"/>
        <v>113.32357999999999</v>
      </c>
      <c r="O79" s="71">
        <f t="shared" si="34"/>
        <v>107.97208499999999</v>
      </c>
      <c r="P79" s="71">
        <f t="shared" si="34"/>
        <v>114.2957758</v>
      </c>
      <c r="Q79" s="71">
        <f t="shared" si="34"/>
        <v>108.43354790000001</v>
      </c>
      <c r="R79" s="71">
        <f t="shared" si="34"/>
        <v>115.35153515799999</v>
      </c>
      <c r="S79" s="72">
        <f t="shared" si="34"/>
        <v>108.44010790000002</v>
      </c>
    </row>
    <row r="80" spans="1:19" s="28" customFormat="1" ht="15.6" x14ac:dyDescent="0.25">
      <c r="A80" s="78"/>
      <c r="B80" s="81" t="s">
        <v>120</v>
      </c>
      <c r="C80" s="79" t="s">
        <v>104</v>
      </c>
      <c r="D80" s="43"/>
      <c r="E80" s="43"/>
      <c r="F80" s="43"/>
      <c r="G80" s="43"/>
      <c r="H80" s="43"/>
      <c r="I80" s="43">
        <v>31.364000000000001</v>
      </c>
      <c r="J80" s="43">
        <v>33.994</v>
      </c>
      <c r="K80" s="71">
        <v>33.368000000000002</v>
      </c>
      <c r="L80" s="71">
        <v>32.505000000000003</v>
      </c>
      <c r="M80" s="71">
        <v>35.128999999999998</v>
      </c>
      <c r="N80" s="71">
        <f>M80*102%</f>
        <v>35.831579999999995</v>
      </c>
      <c r="O80" s="71">
        <f>M80*101%</f>
        <v>35.480289999999997</v>
      </c>
      <c r="P80" s="71">
        <f>N80*101%</f>
        <v>36.189895799999995</v>
      </c>
      <c r="Q80" s="71">
        <f>O80*101%</f>
        <v>35.835092899999999</v>
      </c>
      <c r="R80" s="71">
        <f>P80*101%</f>
        <v>36.551794757999993</v>
      </c>
      <c r="S80" s="72">
        <f>Q80</f>
        <v>35.835092899999999</v>
      </c>
    </row>
    <row r="81" spans="1:19" s="28" customFormat="1" ht="15.6" x14ac:dyDescent="0.25">
      <c r="A81" s="78"/>
      <c r="B81" s="81" t="s">
        <v>121</v>
      </c>
      <c r="C81" s="79" t="s">
        <v>104</v>
      </c>
      <c r="D81" s="43"/>
      <c r="E81" s="43"/>
      <c r="F81" s="43"/>
      <c r="G81" s="43"/>
      <c r="H81" s="43"/>
      <c r="I81" s="43">
        <v>0.46400000000000002</v>
      </c>
      <c r="J81" s="43">
        <v>0.72699999999999998</v>
      </c>
      <c r="K81" s="71">
        <v>0.52</v>
      </c>
      <c r="L81" s="71">
        <v>0.60199999999999998</v>
      </c>
      <c r="M81" s="71">
        <v>0.46600000000000003</v>
      </c>
      <c r="N81" s="71">
        <v>0.60199999999999998</v>
      </c>
      <c r="O81" s="71">
        <v>0.46600000000000003</v>
      </c>
      <c r="P81" s="71">
        <f>N81*102%</f>
        <v>0.61404000000000003</v>
      </c>
      <c r="Q81" s="71">
        <f>O81*101%</f>
        <v>0.47066000000000002</v>
      </c>
      <c r="R81" s="71">
        <f>P81*101%</f>
        <v>0.62018040000000008</v>
      </c>
      <c r="S81" s="72">
        <v>0.46600000000000003</v>
      </c>
    </row>
    <row r="82" spans="1:19" s="28" customFormat="1" ht="15.6" x14ac:dyDescent="0.25">
      <c r="A82" s="82"/>
      <c r="B82" s="83" t="s">
        <v>122</v>
      </c>
      <c r="C82" s="84" t="s">
        <v>104</v>
      </c>
      <c r="D82" s="43"/>
      <c r="E82" s="43"/>
      <c r="F82" s="43"/>
      <c r="G82" s="43"/>
      <c r="H82" s="43"/>
      <c r="I82" s="43">
        <v>1.242</v>
      </c>
      <c r="J82" s="43">
        <v>0.94299999999999995</v>
      </c>
      <c r="K82" s="71">
        <v>1.202</v>
      </c>
      <c r="L82" s="71">
        <v>4.056</v>
      </c>
      <c r="M82" s="71">
        <v>1.02</v>
      </c>
      <c r="N82" s="71">
        <v>4.056</v>
      </c>
      <c r="O82" s="71">
        <v>1.02</v>
      </c>
      <c r="P82" s="71">
        <f>N82</f>
        <v>4.056</v>
      </c>
      <c r="Q82" s="71">
        <f>O82*1.1</f>
        <v>1.1220000000000001</v>
      </c>
      <c r="R82" s="71">
        <f>P82*100%</f>
        <v>4.056</v>
      </c>
      <c r="S82" s="72">
        <f>Q82*101%</f>
        <v>1.1332200000000001</v>
      </c>
    </row>
    <row r="83" spans="1:19" s="28" customFormat="1" ht="15.6" x14ac:dyDescent="0.25">
      <c r="A83" s="78"/>
      <c r="B83" s="81" t="s">
        <v>123</v>
      </c>
      <c r="C83" s="79" t="s">
        <v>104</v>
      </c>
      <c r="D83" s="43"/>
      <c r="E83" s="43"/>
      <c r="F83" s="43"/>
      <c r="G83" s="43"/>
      <c r="H83" s="43"/>
      <c r="I83" s="43">
        <v>9.56</v>
      </c>
      <c r="J83" s="43">
        <v>9.2010000000000005</v>
      </c>
      <c r="K83" s="71">
        <v>10.430999999999999</v>
      </c>
      <c r="L83" s="71">
        <v>7.6790000000000003</v>
      </c>
      <c r="M83" s="71">
        <v>13.064</v>
      </c>
      <c r="N83" s="71">
        <v>7.6790000000000003</v>
      </c>
      <c r="O83" s="71">
        <f>N83*99.5%</f>
        <v>7.6406049999999999</v>
      </c>
      <c r="P83" s="71">
        <f>N83*102%</f>
        <v>7.8325800000000001</v>
      </c>
      <c r="Q83" s="71">
        <f>O83</f>
        <v>7.6406049999999999</v>
      </c>
      <c r="R83" s="71">
        <f>P83*103%</f>
        <v>8.0675574000000001</v>
      </c>
      <c r="S83" s="72">
        <f>Q83</f>
        <v>7.6406049999999999</v>
      </c>
    </row>
    <row r="84" spans="1:19" s="28" customFormat="1" ht="15.6" x14ac:dyDescent="0.25">
      <c r="A84" s="78"/>
      <c r="B84" s="81" t="s">
        <v>124</v>
      </c>
      <c r="C84" s="79" t="s">
        <v>104</v>
      </c>
      <c r="D84" s="43"/>
      <c r="E84" s="43"/>
      <c r="F84" s="43"/>
      <c r="G84" s="43"/>
      <c r="H84" s="43"/>
      <c r="I84" s="43">
        <v>43.795000000000002</v>
      </c>
      <c r="J84" s="43">
        <v>41.646000000000001</v>
      </c>
      <c r="K84" s="71">
        <v>33.779000000000003</v>
      </c>
      <c r="L84" s="71">
        <v>48.308999999999997</v>
      </c>
      <c r="M84" s="71">
        <v>30.302</v>
      </c>
      <c r="N84" s="71">
        <v>30.302</v>
      </c>
      <c r="O84" s="71">
        <f>M84*0.95</f>
        <v>28.786899999999999</v>
      </c>
      <c r="P84" s="71">
        <f>N84*101%</f>
        <v>30.60502</v>
      </c>
      <c r="Q84" s="71">
        <f>O84*100%</f>
        <v>28.786899999999999</v>
      </c>
      <c r="R84" s="71">
        <f>P84*101%</f>
        <v>30.911070200000001</v>
      </c>
      <c r="S84" s="72">
        <f>Q84*100%</f>
        <v>28.786899999999999</v>
      </c>
    </row>
    <row r="85" spans="1:19" s="28" customFormat="1" ht="15.6" x14ac:dyDescent="0.25">
      <c r="A85" s="78"/>
      <c r="B85" s="81" t="s">
        <v>125</v>
      </c>
      <c r="C85" s="79" t="s">
        <v>104</v>
      </c>
      <c r="D85" s="43"/>
      <c r="E85" s="43"/>
      <c r="F85" s="43"/>
      <c r="G85" s="43"/>
      <c r="H85" s="43"/>
      <c r="I85" s="43"/>
      <c r="J85" s="43">
        <v>2E-3</v>
      </c>
      <c r="K85" s="71">
        <v>0</v>
      </c>
      <c r="L85" s="71">
        <v>2E-3</v>
      </c>
      <c r="M85" s="71">
        <v>0</v>
      </c>
      <c r="N85" s="71">
        <f>M85*50.5%</f>
        <v>0</v>
      </c>
      <c r="O85" s="71">
        <f>M85*52.2%</f>
        <v>0</v>
      </c>
      <c r="P85" s="71">
        <f>N85*100%</f>
        <v>0</v>
      </c>
      <c r="Q85" s="71">
        <f>O85*100%</f>
        <v>0</v>
      </c>
      <c r="R85" s="71">
        <f>P85*100%</f>
        <v>0</v>
      </c>
      <c r="S85" s="72">
        <f>Q85*100%</f>
        <v>0</v>
      </c>
    </row>
    <row r="86" spans="1:19" s="28" customFormat="1" ht="15.6" outlineLevel="1" x14ac:dyDescent="0.25">
      <c r="A86" s="78"/>
      <c r="B86" s="81" t="s">
        <v>126</v>
      </c>
      <c r="C86" s="79" t="s">
        <v>104</v>
      </c>
      <c r="D86" s="43"/>
      <c r="E86" s="43"/>
      <c r="F86" s="43"/>
      <c r="G86" s="43"/>
      <c r="H86" s="43"/>
      <c r="I86" s="43">
        <v>0.24199999999999999</v>
      </c>
      <c r="J86" s="43">
        <v>0</v>
      </c>
      <c r="K86" s="71">
        <v>0</v>
      </c>
      <c r="L86" s="71">
        <v>7.0000000000000001E-3</v>
      </c>
      <c r="M86" s="71">
        <v>0</v>
      </c>
      <c r="N86" s="71">
        <v>0</v>
      </c>
      <c r="O86" s="71">
        <f t="shared" ref="O86" si="35">N86/100.5%</f>
        <v>0</v>
      </c>
      <c r="P86" s="71">
        <v>0</v>
      </c>
      <c r="Q86" s="71">
        <f t="shared" ref="Q86" si="36">P86/100.7%</f>
        <v>0</v>
      </c>
      <c r="R86" s="71">
        <v>0</v>
      </c>
      <c r="S86" s="72">
        <f t="shared" ref="S86" si="37">R86/100.8%</f>
        <v>0</v>
      </c>
    </row>
    <row r="87" spans="1:19" s="28" customFormat="1" ht="15.6" x14ac:dyDescent="0.25">
      <c r="A87" s="78"/>
      <c r="B87" s="81" t="s">
        <v>127</v>
      </c>
      <c r="C87" s="79" t="s">
        <v>104</v>
      </c>
      <c r="D87" s="43"/>
      <c r="E87" s="43"/>
      <c r="F87" s="43"/>
      <c r="G87" s="43"/>
      <c r="H87" s="43"/>
      <c r="I87" s="43">
        <v>24.741</v>
      </c>
      <c r="J87" s="43">
        <v>26.234999999999999</v>
      </c>
      <c r="K87" s="71">
        <v>27.763999999999999</v>
      </c>
      <c r="L87" s="71">
        <v>22.994</v>
      </c>
      <c r="M87" s="71">
        <v>20.209</v>
      </c>
      <c r="N87" s="71">
        <v>20.209</v>
      </c>
      <c r="O87" s="71">
        <f>M87*0.99</f>
        <v>20.006909999999998</v>
      </c>
      <c r="P87" s="71">
        <f>N87</f>
        <v>20.209</v>
      </c>
      <c r="Q87" s="71">
        <f>O87</f>
        <v>20.006909999999998</v>
      </c>
      <c r="R87" s="71">
        <f>P87*100%</f>
        <v>20.209</v>
      </c>
      <c r="S87" s="72">
        <f>Q87</f>
        <v>20.006909999999998</v>
      </c>
    </row>
    <row r="88" spans="1:19" s="28" customFormat="1" ht="15.6" x14ac:dyDescent="0.25">
      <c r="A88" s="78"/>
      <c r="B88" s="81" t="s">
        <v>128</v>
      </c>
      <c r="C88" s="79" t="s">
        <v>104</v>
      </c>
      <c r="D88" s="43"/>
      <c r="E88" s="43"/>
      <c r="F88" s="43"/>
      <c r="G88" s="43"/>
      <c r="H88" s="43"/>
      <c r="I88" s="43">
        <v>0</v>
      </c>
      <c r="J88" s="43">
        <v>1.4999999999999999E-2</v>
      </c>
      <c r="K88" s="71">
        <v>0.18</v>
      </c>
      <c r="L88" s="71">
        <v>0.13500000000000001</v>
      </c>
      <c r="M88" s="71">
        <v>0.12</v>
      </c>
      <c r="N88" s="71">
        <v>0.12</v>
      </c>
      <c r="O88" s="71">
        <v>0.12</v>
      </c>
      <c r="P88" s="71">
        <v>0.12</v>
      </c>
      <c r="Q88" s="71">
        <v>0.12</v>
      </c>
      <c r="R88" s="71">
        <v>0.12</v>
      </c>
      <c r="S88" s="72">
        <v>0.12</v>
      </c>
    </row>
    <row r="89" spans="1:19" s="28" customFormat="1" ht="15.6" x14ac:dyDescent="0.25">
      <c r="A89" s="78"/>
      <c r="B89" s="81" t="s">
        <v>129</v>
      </c>
      <c r="C89" s="79" t="s">
        <v>104</v>
      </c>
      <c r="D89" s="43"/>
      <c r="E89" s="43"/>
      <c r="F89" s="43"/>
      <c r="G89" s="43"/>
      <c r="H89" s="43"/>
      <c r="I89" s="43">
        <v>16.228999999999999</v>
      </c>
      <c r="J89" s="43">
        <v>16.492999999999999</v>
      </c>
      <c r="K89" s="71">
        <v>15.215999999999999</v>
      </c>
      <c r="L89" s="71">
        <v>13.739000000000001</v>
      </c>
      <c r="M89" s="71">
        <v>14.523999999999999</v>
      </c>
      <c r="N89" s="71">
        <v>14.523999999999999</v>
      </c>
      <c r="O89" s="71">
        <f>N89*99.5%</f>
        <v>14.451379999999999</v>
      </c>
      <c r="P89" s="71">
        <f>N89*101%</f>
        <v>14.669239999999999</v>
      </c>
      <c r="Q89" s="71">
        <f>O89</f>
        <v>14.451379999999999</v>
      </c>
      <c r="R89" s="71">
        <f>P89*101%</f>
        <v>14.815932399999999</v>
      </c>
      <c r="S89" s="72">
        <f>Q89</f>
        <v>14.451379999999999</v>
      </c>
    </row>
    <row r="90" spans="1:19" s="28" customFormat="1" ht="31.2" x14ac:dyDescent="0.25">
      <c r="A90" s="78" t="s">
        <v>56</v>
      </c>
      <c r="B90" s="32" t="s">
        <v>130</v>
      </c>
      <c r="C90" s="79" t="s">
        <v>104</v>
      </c>
      <c r="D90" s="43"/>
      <c r="E90" s="43"/>
      <c r="F90" s="43"/>
      <c r="G90" s="43"/>
      <c r="H90" s="43"/>
      <c r="I90" s="43">
        <f t="shared" ref="I90:S90" si="38">I66-I79</f>
        <v>2.9709999999999894</v>
      </c>
      <c r="J90" s="43">
        <f t="shared" si="38"/>
        <v>-0.85900000000000887</v>
      </c>
      <c r="K90" s="71">
        <f t="shared" si="38"/>
        <v>-2.953000000000003</v>
      </c>
      <c r="L90" s="71">
        <f t="shared" si="38"/>
        <v>0.47900000000001342</v>
      </c>
      <c r="M90" s="71">
        <f t="shared" si="38"/>
        <v>-6.9339999999999975</v>
      </c>
      <c r="N90" s="71">
        <f t="shared" si="38"/>
        <v>-5.8346600000000137</v>
      </c>
      <c r="O90" s="71">
        <f t="shared" si="38"/>
        <v>-2.0688279999999963</v>
      </c>
      <c r="P90" s="71">
        <f t="shared" si="38"/>
        <v>-5.8889574000000096</v>
      </c>
      <c r="Q90" s="71">
        <f t="shared" si="38"/>
        <v>-2.3464000250000083</v>
      </c>
      <c r="R90" s="71">
        <f t="shared" si="38"/>
        <v>-6.5260733899999934</v>
      </c>
      <c r="S90" s="72">
        <f t="shared" si="38"/>
        <v>-1.7470252431950115</v>
      </c>
    </row>
    <row r="91" spans="1:19" s="28" customFormat="1" ht="15.6" x14ac:dyDescent="0.25">
      <c r="A91" s="53" t="s">
        <v>131</v>
      </c>
      <c r="B91" s="65" t="s">
        <v>132</v>
      </c>
      <c r="C91" s="25"/>
      <c r="D91" s="85">
        <f>D92+D94+D96</f>
        <v>327617.5</v>
      </c>
      <c r="E91" s="86">
        <f>E92+E94+E96</f>
        <v>348144</v>
      </c>
      <c r="F91" s="85">
        <f>F92+F94+F96</f>
        <v>372600</v>
      </c>
      <c r="G91" s="85">
        <v>393892</v>
      </c>
      <c r="H91" s="85">
        <v>390630</v>
      </c>
      <c r="I91" s="85">
        <f t="shared" ref="I91:S91" si="39">I92+I94+I96</f>
        <v>394641</v>
      </c>
      <c r="J91" s="85">
        <f t="shared" si="39"/>
        <v>420736</v>
      </c>
      <c r="K91" s="87">
        <f t="shared" si="39"/>
        <v>432807</v>
      </c>
      <c r="L91" s="87">
        <f t="shared" si="39"/>
        <v>419915</v>
      </c>
      <c r="M91" s="87">
        <f t="shared" si="39"/>
        <v>424240.96</v>
      </c>
      <c r="N91" s="85">
        <f t="shared" si="39"/>
        <v>428997.2438</v>
      </c>
      <c r="O91" s="85">
        <f t="shared" si="39"/>
        <v>426566.53301999997</v>
      </c>
      <c r="P91" s="85">
        <f t="shared" si="39"/>
        <v>431913.6090085</v>
      </c>
      <c r="Q91" s="85">
        <f t="shared" si="39"/>
        <v>427420.65818549989</v>
      </c>
      <c r="R91" s="85">
        <f t="shared" si="39"/>
        <v>435141.34922761843</v>
      </c>
      <c r="S91" s="88">
        <f t="shared" si="39"/>
        <v>428487.18992452783</v>
      </c>
    </row>
    <row r="92" spans="1:19" s="28" customFormat="1" ht="62.4" x14ac:dyDescent="0.25">
      <c r="A92" s="23" t="s">
        <v>25</v>
      </c>
      <c r="B92" s="69" t="s">
        <v>133</v>
      </c>
      <c r="C92" s="25" t="s">
        <v>134</v>
      </c>
      <c r="D92" s="26">
        <f>302500*1.047</f>
        <v>316717.5</v>
      </c>
      <c r="E92" s="29">
        <v>334770.7</v>
      </c>
      <c r="F92" s="26">
        <v>357600</v>
      </c>
      <c r="G92" s="26">
        <f>F92*1.057</f>
        <v>377983.19999999995</v>
      </c>
      <c r="H92" s="26">
        <v>374764.79999999999</v>
      </c>
      <c r="I92" s="26">
        <v>377983</v>
      </c>
      <c r="J92" s="26">
        <v>402930</v>
      </c>
      <c r="K92" s="36">
        <v>415018</v>
      </c>
      <c r="L92" s="36">
        <v>402651</v>
      </c>
      <c r="M92" s="36">
        <v>406718</v>
      </c>
      <c r="N92" s="26">
        <f>M92*1.01</f>
        <v>410785.18</v>
      </c>
      <c r="O92" s="26">
        <f>M92*1.005</f>
        <v>408751.58999999997</v>
      </c>
      <c r="P92" s="26">
        <f>N92*1.005</f>
        <v>412839.10589999997</v>
      </c>
      <c r="Q92" s="26">
        <f>O92*1.001</f>
        <v>409160.34158999991</v>
      </c>
      <c r="R92" s="26">
        <f>P92*1.005</f>
        <v>414903.30142949993</v>
      </c>
      <c r="S92" s="27">
        <f>Q92*1.001</f>
        <v>409569.50193158985</v>
      </c>
    </row>
    <row r="93" spans="1:19" s="28" customFormat="1" ht="15.6" x14ac:dyDescent="0.25">
      <c r="A93" s="23" t="s">
        <v>49</v>
      </c>
      <c r="B93" s="69" t="s">
        <v>135</v>
      </c>
      <c r="C93" s="25" t="s">
        <v>136</v>
      </c>
      <c r="D93" s="26">
        <f>SUM(D92/302500)*100</f>
        <v>104.69999999999999</v>
      </c>
      <c r="E93" s="29">
        <f>SUM(E92/D92)*100</f>
        <v>105.70009551098376</v>
      </c>
      <c r="F93" s="29">
        <f>SUM(F92/E92)*100</f>
        <v>106.81938413367718</v>
      </c>
      <c r="G93" s="29">
        <f>SUM(G92/F92)*100</f>
        <v>105.69999999999999</v>
      </c>
      <c r="H93" s="29">
        <f>SUM(H92/G92)*100</f>
        <v>99.148533585619688</v>
      </c>
      <c r="I93" s="29">
        <f>SUM(I92/H92*100)</f>
        <v>100.85872525914921</v>
      </c>
      <c r="J93" s="29">
        <f>SUM(J92/I92*100)</f>
        <v>106.60003227658387</v>
      </c>
      <c r="K93" s="29">
        <f>K92/J92*100</f>
        <v>103.00002481820663</v>
      </c>
      <c r="L93" s="29">
        <f>L92/K92*100</f>
        <v>97.020129247406146</v>
      </c>
      <c r="M93" s="29">
        <f>M92/K92*100</f>
        <v>98.000086743225594</v>
      </c>
      <c r="N93" s="29">
        <f>N92/M92*100</f>
        <v>101</v>
      </c>
      <c r="O93" s="29">
        <f>O92/M92*100</f>
        <v>100.49999999999999</v>
      </c>
      <c r="P93" s="29">
        <f>P92/N92*100</f>
        <v>100.49999999999999</v>
      </c>
      <c r="Q93" s="29">
        <f>Q92/O92*100</f>
        <v>100.1</v>
      </c>
      <c r="R93" s="29">
        <f>R92/P92*100</f>
        <v>100.49999999999999</v>
      </c>
      <c r="S93" s="47">
        <f>S92/Q92*100</f>
        <v>100.1</v>
      </c>
    </row>
    <row r="94" spans="1:19" s="28" customFormat="1" ht="62.4" x14ac:dyDescent="0.25">
      <c r="A94" s="23" t="s">
        <v>56</v>
      </c>
      <c r="B94" s="69" t="s">
        <v>137</v>
      </c>
      <c r="C94" s="25" t="s">
        <v>134</v>
      </c>
      <c r="D94" s="26">
        <v>5300</v>
      </c>
      <c r="E94" s="29">
        <v>6133.3</v>
      </c>
      <c r="F94" s="26">
        <v>6800</v>
      </c>
      <c r="G94" s="26">
        <f>F94*1.048</f>
        <v>7126.4000000000005</v>
      </c>
      <c r="H94" s="26">
        <v>7099.2</v>
      </c>
      <c r="I94" s="26">
        <v>7454</v>
      </c>
      <c r="J94" s="26">
        <v>8050</v>
      </c>
      <c r="K94" s="26">
        <v>8131</v>
      </c>
      <c r="L94" s="26">
        <v>8050</v>
      </c>
      <c r="M94" s="26">
        <f>L94*1.015</f>
        <v>8170.7499999999991</v>
      </c>
      <c r="N94" s="26">
        <f>M94*105%</f>
        <v>8579.2874999999985</v>
      </c>
      <c r="O94" s="26">
        <f>M94*102.2%</f>
        <v>8350.5064999999995</v>
      </c>
      <c r="P94" s="26">
        <f>N94*105%</f>
        <v>9008.2518749999981</v>
      </c>
      <c r="Q94" s="26">
        <f>O94*102.5%</f>
        <v>8559.2691624999989</v>
      </c>
      <c r="R94" s="26">
        <f>P94*106.1%</f>
        <v>9557.7552393749975</v>
      </c>
      <c r="S94" s="27">
        <f>Q94*103.6%</f>
        <v>8867.4028523499983</v>
      </c>
    </row>
    <row r="95" spans="1:19" s="28" customFormat="1" ht="15.6" x14ac:dyDescent="0.25">
      <c r="A95" s="23" t="s">
        <v>59</v>
      </c>
      <c r="B95" s="69" t="s">
        <v>135</v>
      </c>
      <c r="C95" s="25" t="s">
        <v>136</v>
      </c>
      <c r="D95" s="26">
        <f>D94/4100*100</f>
        <v>129.26829268292684</v>
      </c>
      <c r="E95" s="29">
        <f t="shared" ref="E95:O95" si="40">E94/D94*100</f>
        <v>115.72264150943397</v>
      </c>
      <c r="F95" s="29">
        <f t="shared" si="40"/>
        <v>110.87016777265093</v>
      </c>
      <c r="G95" s="29">
        <f t="shared" si="40"/>
        <v>104.80000000000001</v>
      </c>
      <c r="H95" s="29">
        <f t="shared" si="40"/>
        <v>99.618320610687022</v>
      </c>
      <c r="I95" s="29">
        <f t="shared" si="40"/>
        <v>104.99774622492674</v>
      </c>
      <c r="J95" s="29">
        <f t="shared" si="40"/>
        <v>107.99570700295145</v>
      </c>
      <c r="K95" s="29">
        <f>K94/J94*100</f>
        <v>101.00621118012423</v>
      </c>
      <c r="L95" s="29">
        <f>L94/K94*100</f>
        <v>99.003812569179686</v>
      </c>
      <c r="M95" s="29">
        <f>M94/K94*100</f>
        <v>100.48886975771735</v>
      </c>
      <c r="N95" s="29">
        <f t="shared" si="40"/>
        <v>105</v>
      </c>
      <c r="O95" s="29">
        <f t="shared" si="40"/>
        <v>97.333333333333343</v>
      </c>
      <c r="P95" s="29">
        <f>P94/N94*100</f>
        <v>105</v>
      </c>
      <c r="Q95" s="29">
        <f>Q94/O94*100</f>
        <v>102.49999999999999</v>
      </c>
      <c r="R95" s="29">
        <f>R94/P94*100</f>
        <v>106.1</v>
      </c>
      <c r="S95" s="47">
        <f>S94/Q94*100</f>
        <v>103.60000000000001</v>
      </c>
    </row>
    <row r="96" spans="1:19" s="28" customFormat="1" ht="62.4" x14ac:dyDescent="0.25">
      <c r="A96" s="23" t="s">
        <v>61</v>
      </c>
      <c r="B96" s="69" t="s">
        <v>138</v>
      </c>
      <c r="C96" s="25" t="s">
        <v>134</v>
      </c>
      <c r="D96" s="26">
        <v>5600</v>
      </c>
      <c r="E96" s="26">
        <v>7240</v>
      </c>
      <c r="F96" s="26">
        <v>8200</v>
      </c>
      <c r="G96" s="26">
        <f>F96*1.071</f>
        <v>8782.1999999999989</v>
      </c>
      <c r="H96" s="26">
        <v>8765.7999999999993</v>
      </c>
      <c r="I96" s="26">
        <v>9204</v>
      </c>
      <c r="J96" s="26">
        <v>9756</v>
      </c>
      <c r="K96" s="26">
        <v>9658</v>
      </c>
      <c r="L96" s="26">
        <v>9214</v>
      </c>
      <c r="M96" s="26">
        <f>L96*1.015</f>
        <v>9352.2099999999991</v>
      </c>
      <c r="N96" s="26">
        <f>M96*103%</f>
        <v>9632.7762999999995</v>
      </c>
      <c r="O96" s="26">
        <f>M96*101.2%</f>
        <v>9464.4365199999993</v>
      </c>
      <c r="P96" s="26">
        <f>N96*104.5%</f>
        <v>10066.251233499999</v>
      </c>
      <c r="Q96" s="26">
        <f>O96*102.5%</f>
        <v>9701.0474329999979</v>
      </c>
      <c r="R96" s="26">
        <f>P96*106.1%</f>
        <v>10680.292558743498</v>
      </c>
      <c r="S96" s="27">
        <f>Q96*103.6%</f>
        <v>10050.285140587997</v>
      </c>
    </row>
    <row r="97" spans="1:19" s="28" customFormat="1" ht="16.2" thickBot="1" x14ac:dyDescent="0.3">
      <c r="A97" s="89" t="s">
        <v>63</v>
      </c>
      <c r="B97" s="90" t="s">
        <v>135</v>
      </c>
      <c r="C97" s="91" t="s">
        <v>136</v>
      </c>
      <c r="D97" s="92">
        <f>D96/5200*100</f>
        <v>107.69230769230769</v>
      </c>
      <c r="E97" s="93">
        <f>E96/D96*100</f>
        <v>129.28571428571431</v>
      </c>
      <c r="F97" s="93">
        <f>F96/E96*100</f>
        <v>113.25966850828731</v>
      </c>
      <c r="G97" s="93">
        <f>G96/F96*100</f>
        <v>107.1</v>
      </c>
      <c r="H97" s="93">
        <v>99.813258636788049</v>
      </c>
      <c r="I97" s="93">
        <f t="shared" ref="I97:O97" si="41">I96/H96*100</f>
        <v>104.99897328252985</v>
      </c>
      <c r="J97" s="93">
        <f t="shared" si="41"/>
        <v>105.99739243807041</v>
      </c>
      <c r="K97" s="93">
        <f t="shared" si="41"/>
        <v>98.995489954899554</v>
      </c>
      <c r="L97" s="93">
        <f t="shared" si="41"/>
        <v>95.402774901635951</v>
      </c>
      <c r="M97" s="93">
        <f>M96/K96*100</f>
        <v>96.833816525160472</v>
      </c>
      <c r="N97" s="93">
        <f t="shared" si="41"/>
        <v>103</v>
      </c>
      <c r="O97" s="93">
        <f t="shared" si="41"/>
        <v>98.252427184466015</v>
      </c>
      <c r="P97" s="93">
        <f>P96/N96*100</f>
        <v>104.5</v>
      </c>
      <c r="Q97" s="93">
        <f>Q96/O96*100</f>
        <v>102.49999999999999</v>
      </c>
      <c r="R97" s="93">
        <f>R96/P96*100</f>
        <v>106.1</v>
      </c>
      <c r="S97" s="94">
        <f>S96/Q96*100</f>
        <v>103.60000000000001</v>
      </c>
    </row>
    <row r="98" spans="1:19" s="2" customFormat="1" x14ac:dyDescent="0.25">
      <c r="A98" s="95"/>
      <c r="B98" s="96"/>
      <c r="C98" s="96"/>
      <c r="D98" s="97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6"/>
      <c r="Q98" s="96"/>
      <c r="R98" s="96"/>
      <c r="S98" s="96"/>
    </row>
    <row r="99" spans="1:19" s="2" customFormat="1" x14ac:dyDescent="0.25">
      <c r="A99" s="1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9" s="2" customFormat="1" x14ac:dyDescent="0.25">
      <c r="A100" s="1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9" s="2" customFormat="1" ht="19.5" customHeight="1" x14ac:dyDescent="0.25">
      <c r="A101" s="125" t="s">
        <v>139</v>
      </c>
      <c r="B101" s="125"/>
      <c r="C101" s="125"/>
      <c r="D101" s="125"/>
      <c r="E101" s="125"/>
      <c r="F101" s="99"/>
      <c r="G101" s="99"/>
      <c r="H101" s="99"/>
      <c r="I101" s="99"/>
      <c r="J101" s="99"/>
      <c r="K101" s="99"/>
      <c r="L101" s="99"/>
      <c r="M101" s="99"/>
      <c r="N101" s="4"/>
      <c r="O101" s="4"/>
    </row>
    <row r="102" spans="1:19" s="2" customFormat="1" x14ac:dyDescent="0.25">
      <c r="A102" s="1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</sheetData>
  <mergeCells count="23">
    <mergeCell ref="A7:S7"/>
    <mergeCell ref="M9:M10"/>
    <mergeCell ref="N9:O9"/>
    <mergeCell ref="P9:Q9"/>
    <mergeCell ref="R9:S9"/>
    <mergeCell ref="K9:K10"/>
    <mergeCell ref="L9:L10"/>
    <mergeCell ref="N1:Q1"/>
    <mergeCell ref="N2:Q2"/>
    <mergeCell ref="N3:Q3"/>
    <mergeCell ref="A5:S5"/>
    <mergeCell ref="A6:S6"/>
    <mergeCell ref="A101:E101"/>
    <mergeCell ref="G9:G10"/>
    <mergeCell ref="H9:H10"/>
    <mergeCell ref="I9:I10"/>
    <mergeCell ref="J9:J10"/>
    <mergeCell ref="A9:A10"/>
    <mergeCell ref="B9:B10"/>
    <mergeCell ref="C9:C10"/>
    <mergeCell ref="D9:D10"/>
    <mergeCell ref="E9:E10"/>
    <mergeCell ref="F9:F10"/>
  </mergeCells>
  <printOptions horizontalCentered="1"/>
  <pageMargins left="0" right="0" top="0.39370078740157483" bottom="0.19685039370078741" header="0.19685039370078741" footer="0"/>
  <pageSetup paperSize="9" scale="65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Итоги 2022</vt:lpstr>
      <vt:lpstr>Прогноз на 2024-2026!!!</vt:lpstr>
      <vt:lpstr>Прогноз на 2023-2025!!!</vt:lpstr>
      <vt:lpstr>Прогноз на 2022-2024 !!!</vt:lpstr>
      <vt:lpstr>'Итоги 2022'!Заголовки_для_печати</vt:lpstr>
      <vt:lpstr>'Прогноз на 2022-2024 !!!'!Заголовки_для_печати</vt:lpstr>
      <vt:lpstr>'Прогноз на 2023-2025!!!'!Заголовки_для_печати</vt:lpstr>
      <vt:lpstr>'Прогноз на 2024-2026!!!'!Заголовки_для_печати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2023-08-03T09:57:01Z</cp:lastPrinted>
  <dcterms:created xsi:type="dcterms:W3CDTF">2021-11-29T06:37:52Z</dcterms:created>
  <dcterms:modified xsi:type="dcterms:W3CDTF">2024-10-18T04:44:58Z</dcterms:modified>
</cp:coreProperties>
</file>