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SU\Уточн прогноз СЭР на 2025-2027\"/>
    </mc:Choice>
  </mc:AlternateContent>
  <bookViews>
    <workbookView xWindow="0" yWindow="0" windowWidth="23040" windowHeight="8640" firstSheet="1" activeTab="1"/>
  </bookViews>
  <sheets>
    <sheet name="Итоги за 2023!" sheetId="1" state="hidden" r:id="rId1"/>
    <sheet name="Прогноз на 2025-2027!!!" sheetId="3" r:id="rId2"/>
    <sheet name="Прогноз на 2024-2026!!!" sheetId="2" state="hidden" r:id="rId3"/>
  </sheets>
  <definedNames>
    <definedName name="_xlnm.Print_Titles" localSheetId="0">'Итоги за 2023!'!$9:$10</definedName>
    <definedName name="_xlnm.Print_Titles" localSheetId="2">'Прогноз на 2024-2026!!!'!$9:$10</definedName>
    <definedName name="_xlnm.Print_Titles" localSheetId="1">'Прогноз на 2025-2027!!!'!$9:$10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3" i="3" l="1"/>
  <c r="J33" i="3" s="1"/>
  <c r="I33" i="3"/>
  <c r="H33" i="3"/>
  <c r="K32" i="3"/>
  <c r="J32" i="3" s="1"/>
  <c r="I32" i="3"/>
  <c r="H32" i="3"/>
  <c r="I31" i="3"/>
  <c r="K31" i="3" s="1"/>
  <c r="H31" i="3"/>
  <c r="I30" i="3"/>
  <c r="K30" i="3" s="1"/>
  <c r="H30" i="3"/>
  <c r="I29" i="3"/>
  <c r="H29" i="3" s="1"/>
  <c r="K27" i="3"/>
  <c r="J27" i="3" s="1"/>
  <c r="I27" i="3"/>
  <c r="H27" i="3"/>
  <c r="K26" i="3"/>
  <c r="M26" i="3" s="1"/>
  <c r="L26" i="3" s="1"/>
  <c r="I26" i="3"/>
  <c r="H26" i="3" s="1"/>
  <c r="K24" i="3"/>
  <c r="J24" i="3" s="1"/>
  <c r="I24" i="3"/>
  <c r="H24" i="3"/>
  <c r="K23" i="3"/>
  <c r="J23" i="3" s="1"/>
  <c r="I23" i="3"/>
  <c r="H23" i="3"/>
  <c r="K22" i="3"/>
  <c r="J22" i="3" s="1"/>
  <c r="I22" i="3"/>
  <c r="H22" i="3"/>
  <c r="I21" i="3"/>
  <c r="H21" i="3" s="1"/>
  <c r="I20" i="3"/>
  <c r="H20" i="3" s="1"/>
  <c r="I19" i="3"/>
  <c r="H19" i="3" s="1"/>
  <c r="K17" i="3"/>
  <c r="M17" i="3" s="1"/>
  <c r="L17" i="3" s="1"/>
  <c r="I17" i="3"/>
  <c r="H17" i="3" s="1"/>
  <c r="K16" i="3"/>
  <c r="J16" i="3" s="1"/>
  <c r="I16" i="3"/>
  <c r="H16" i="3"/>
  <c r="L15" i="3"/>
  <c r="J15" i="3"/>
  <c r="H15" i="3"/>
  <c r="I15" i="3"/>
  <c r="L13" i="3"/>
  <c r="M13" i="3"/>
  <c r="J13" i="3"/>
  <c r="K13" i="3"/>
  <c r="H13" i="3"/>
  <c r="I13" i="3"/>
  <c r="M33" i="3" l="1"/>
  <c r="L33" i="3" s="1"/>
  <c r="M32" i="3"/>
  <c r="L32" i="3" s="1"/>
  <c r="J31" i="3"/>
  <c r="M31" i="3"/>
  <c r="L31" i="3" s="1"/>
  <c r="J30" i="3"/>
  <c r="M30" i="3"/>
  <c r="L30" i="3" s="1"/>
  <c r="K29" i="3"/>
  <c r="M27" i="3"/>
  <c r="L27" i="3" s="1"/>
  <c r="J26" i="3"/>
  <c r="M24" i="3"/>
  <c r="L24" i="3" s="1"/>
  <c r="M23" i="3"/>
  <c r="L23" i="3" s="1"/>
  <c r="M22" i="3"/>
  <c r="L22" i="3" s="1"/>
  <c r="K21" i="3"/>
  <c r="K20" i="3"/>
  <c r="K19" i="3"/>
  <c r="J17" i="3"/>
  <c r="M16" i="3"/>
  <c r="L16" i="3" s="1"/>
  <c r="G75" i="3"/>
  <c r="G97" i="3"/>
  <c r="G95" i="3"/>
  <c r="G93" i="3"/>
  <c r="F97" i="3"/>
  <c r="F95" i="3"/>
  <c r="F93" i="3"/>
  <c r="F91" i="3"/>
  <c r="F79" i="3"/>
  <c r="F75" i="3"/>
  <c r="F68" i="3"/>
  <c r="F67" i="3" s="1"/>
  <c r="F66" i="3" s="1"/>
  <c r="F90" i="3" s="1"/>
  <c r="F64" i="3"/>
  <c r="F57" i="3"/>
  <c r="F47" i="3"/>
  <c r="F14" i="3"/>
  <c r="F12" i="3" s="1"/>
  <c r="D97" i="3"/>
  <c r="I96" i="3"/>
  <c r="I97" i="3" s="1"/>
  <c r="H96" i="3"/>
  <c r="J96" i="3" s="1"/>
  <c r="E96" i="3"/>
  <c r="E97" i="3" s="1"/>
  <c r="D95" i="3"/>
  <c r="I94" i="3"/>
  <c r="I95" i="3" s="1"/>
  <c r="H94" i="3"/>
  <c r="H95" i="3" s="1"/>
  <c r="E94" i="3"/>
  <c r="E95" i="3" s="1"/>
  <c r="D93" i="3"/>
  <c r="I92" i="3"/>
  <c r="I93" i="3" s="1"/>
  <c r="H92" i="3"/>
  <c r="H93" i="3" s="1"/>
  <c r="E92" i="3"/>
  <c r="E93" i="3" s="1"/>
  <c r="G91" i="3"/>
  <c r="E91" i="3"/>
  <c r="D91" i="3"/>
  <c r="J86" i="3"/>
  <c r="K86" i="3" s="1"/>
  <c r="M86" i="3" s="1"/>
  <c r="I86" i="3"/>
  <c r="I85" i="3"/>
  <c r="J85" i="3" s="1"/>
  <c r="K85" i="3" s="1"/>
  <c r="M85" i="3" s="1"/>
  <c r="L79" i="3"/>
  <c r="I79" i="3"/>
  <c r="H79" i="3"/>
  <c r="G79" i="3"/>
  <c r="E79" i="3"/>
  <c r="D79" i="3"/>
  <c r="D76" i="3"/>
  <c r="D75" i="3" s="1"/>
  <c r="L75" i="3"/>
  <c r="I75" i="3"/>
  <c r="H75" i="3"/>
  <c r="E75" i="3"/>
  <c r="J68" i="3"/>
  <c r="J67" i="3" s="1"/>
  <c r="L68" i="3"/>
  <c r="L67" i="3" s="1"/>
  <c r="I68" i="3"/>
  <c r="I67" i="3" s="1"/>
  <c r="H68" i="3"/>
  <c r="H67" i="3" s="1"/>
  <c r="H66" i="3" s="1"/>
  <c r="G68" i="3"/>
  <c r="G67" i="3" s="1"/>
  <c r="G66" i="3" s="1"/>
  <c r="E68" i="3"/>
  <c r="D68" i="3"/>
  <c r="D67" i="3" s="1"/>
  <c r="E67" i="3"/>
  <c r="E66" i="3" s="1"/>
  <c r="G64" i="3"/>
  <c r="I63" i="3"/>
  <c r="I64" i="3" s="1"/>
  <c r="H63" i="3"/>
  <c r="J63" i="3" s="1"/>
  <c r="I62" i="3"/>
  <c r="K62" i="3" s="1"/>
  <c r="M62" i="3" s="1"/>
  <c r="E62" i="3"/>
  <c r="H62" i="3" s="1"/>
  <c r="J62" i="3" s="1"/>
  <c r="L62" i="3" s="1"/>
  <c r="L61" i="3"/>
  <c r="M61" i="3"/>
  <c r="K60" i="3"/>
  <c r="J60" i="3"/>
  <c r="L60" i="3" s="1"/>
  <c r="G57" i="3"/>
  <c r="E57" i="3"/>
  <c r="I56" i="3"/>
  <c r="I57" i="3" s="1"/>
  <c r="H57" i="3"/>
  <c r="K55" i="3"/>
  <c r="M55" i="3" s="1"/>
  <c r="J55" i="3"/>
  <c r="L55" i="3" s="1"/>
  <c r="J54" i="3"/>
  <c r="L54" i="3" s="1"/>
  <c r="M54" i="3"/>
  <c r="L52" i="3"/>
  <c r="I52" i="3"/>
  <c r="K52" i="3" s="1"/>
  <c r="M52" i="3" s="1"/>
  <c r="K51" i="3"/>
  <c r="M51" i="3" s="1"/>
  <c r="J51" i="3"/>
  <c r="L51" i="3" s="1"/>
  <c r="K50" i="3"/>
  <c r="J50" i="3"/>
  <c r="L50" i="3" s="1"/>
  <c r="J49" i="3"/>
  <c r="L49" i="3" s="1"/>
  <c r="I49" i="3"/>
  <c r="K49" i="3" s="1"/>
  <c r="M49" i="3" s="1"/>
  <c r="L48" i="3"/>
  <c r="H47" i="3"/>
  <c r="G47" i="3"/>
  <c r="E47" i="3"/>
  <c r="D47" i="3"/>
  <c r="K46" i="3"/>
  <c r="M45" i="3"/>
  <c r="L45" i="3"/>
  <c r="K45" i="3"/>
  <c r="J45" i="3"/>
  <c r="K44" i="3"/>
  <c r="M44" i="3" s="1"/>
  <c r="L44" i="3" s="1"/>
  <c r="K43" i="3"/>
  <c r="M43" i="3" s="1"/>
  <c r="J43" i="3"/>
  <c r="L43" i="3" s="1"/>
  <c r="L42" i="3"/>
  <c r="K42" i="3"/>
  <c r="M42" i="3" s="1"/>
  <c r="J42" i="3"/>
  <c r="L41" i="3"/>
  <c r="K41" i="3"/>
  <c r="M41" i="3" s="1"/>
  <c r="J41" i="3"/>
  <c r="L40" i="3"/>
  <c r="K40" i="3"/>
  <c r="M40" i="3" s="1"/>
  <c r="J40" i="3"/>
  <c r="L39" i="3"/>
  <c r="K39" i="3"/>
  <c r="M39" i="3" s="1"/>
  <c r="J39" i="3"/>
  <c r="L38" i="3"/>
  <c r="K38" i="3"/>
  <c r="M38" i="3" s="1"/>
  <c r="J38" i="3"/>
  <c r="K37" i="3"/>
  <c r="M37" i="3" s="1"/>
  <c r="J37" i="3"/>
  <c r="L37" i="3" s="1"/>
  <c r="K36" i="3"/>
  <c r="M36" i="3" s="1"/>
  <c r="J36" i="3"/>
  <c r="L36" i="3" s="1"/>
  <c r="E31" i="3"/>
  <c r="E30" i="3"/>
  <c r="I28" i="3"/>
  <c r="K28" i="3" s="1"/>
  <c r="M28" i="3" s="1"/>
  <c r="H28" i="3"/>
  <c r="J28" i="3" s="1"/>
  <c r="L28" i="3" s="1"/>
  <c r="E27" i="3"/>
  <c r="E26" i="3"/>
  <c r="E24" i="3"/>
  <c r="E21" i="3"/>
  <c r="E20" i="3"/>
  <c r="I18" i="3"/>
  <c r="K18" i="3" s="1"/>
  <c r="M18" i="3" s="1"/>
  <c r="H18" i="3"/>
  <c r="J18" i="3" s="1"/>
  <c r="L18" i="3" s="1"/>
  <c r="E17" i="3"/>
  <c r="E14" i="3" s="1"/>
  <c r="E16" i="3"/>
  <c r="K15" i="3"/>
  <c r="E15" i="3"/>
  <c r="G14" i="3"/>
  <c r="G12" i="3" s="1"/>
  <c r="D14" i="3"/>
  <c r="E13" i="3"/>
  <c r="P97" i="2"/>
  <c r="O97" i="2"/>
  <c r="M97" i="2"/>
  <c r="L97" i="2"/>
  <c r="K97" i="2"/>
  <c r="J97" i="2"/>
  <c r="I97" i="2"/>
  <c r="G97" i="2"/>
  <c r="F97" i="2"/>
  <c r="E97" i="2"/>
  <c r="D97" i="2"/>
  <c r="R96" i="2"/>
  <c r="T96" i="2" s="1"/>
  <c r="T97" i="2" s="1"/>
  <c r="Q96" i="2"/>
  <c r="Q97" i="2" s="1"/>
  <c r="P96" i="2"/>
  <c r="N96" i="2"/>
  <c r="N97" i="2" s="1"/>
  <c r="G96" i="2"/>
  <c r="Q95" i="2"/>
  <c r="O95" i="2"/>
  <c r="M95" i="2"/>
  <c r="L95" i="2"/>
  <c r="K95" i="2"/>
  <c r="J95" i="2"/>
  <c r="I95" i="2"/>
  <c r="F95" i="2"/>
  <c r="E95" i="2"/>
  <c r="D95" i="2"/>
  <c r="S94" i="2"/>
  <c r="S95" i="2" s="1"/>
  <c r="Q94" i="2"/>
  <c r="P94" i="2"/>
  <c r="P95" i="2" s="1"/>
  <c r="N94" i="2"/>
  <c r="N95" i="2" s="1"/>
  <c r="G94" i="2"/>
  <c r="H95" i="2" s="1"/>
  <c r="O93" i="2"/>
  <c r="M93" i="2"/>
  <c r="L93" i="2"/>
  <c r="K93" i="2"/>
  <c r="J93" i="2"/>
  <c r="I93" i="2"/>
  <c r="F93" i="2"/>
  <c r="Q92" i="2"/>
  <c r="Q93" i="2" s="1"/>
  <c r="P92" i="2"/>
  <c r="P93" i="2" s="1"/>
  <c r="O92" i="2"/>
  <c r="N92" i="2"/>
  <c r="N93" i="2" s="1"/>
  <c r="G92" i="2"/>
  <c r="H93" i="2" s="1"/>
  <c r="D92" i="2"/>
  <c r="D93" i="2" s="1"/>
  <c r="P91" i="2"/>
  <c r="O91" i="2"/>
  <c r="M91" i="2"/>
  <c r="L91" i="2"/>
  <c r="K91" i="2"/>
  <c r="J91" i="2"/>
  <c r="I91" i="2"/>
  <c r="F91" i="2"/>
  <c r="E91" i="2"/>
  <c r="D91" i="2"/>
  <c r="S89" i="2"/>
  <c r="U89" i="2" s="1"/>
  <c r="R89" i="2"/>
  <c r="Q89" i="2"/>
  <c r="S88" i="2"/>
  <c r="U88" i="2" s="1"/>
  <c r="R88" i="2"/>
  <c r="Q88" i="2"/>
  <c r="S87" i="2"/>
  <c r="U87" i="2" s="1"/>
  <c r="R87" i="2"/>
  <c r="Q87" i="2"/>
  <c r="S86" i="2"/>
  <c r="U86" i="2" s="1"/>
  <c r="R86" i="2"/>
  <c r="Q86" i="2"/>
  <c r="S85" i="2"/>
  <c r="U85" i="2" s="1"/>
  <c r="R85" i="2"/>
  <c r="Q85" i="2"/>
  <c r="S84" i="2"/>
  <c r="U84" i="2" s="1"/>
  <c r="R84" i="2"/>
  <c r="Q84" i="2"/>
  <c r="S83" i="2"/>
  <c r="U83" i="2" s="1"/>
  <c r="R83" i="2"/>
  <c r="Q83" i="2"/>
  <c r="S82" i="2"/>
  <c r="U82" i="2" s="1"/>
  <c r="R82" i="2"/>
  <c r="Q82" i="2"/>
  <c r="S81" i="2"/>
  <c r="U81" i="2" s="1"/>
  <c r="R81" i="2"/>
  <c r="Q81" i="2"/>
  <c r="S80" i="2"/>
  <c r="U80" i="2" s="1"/>
  <c r="R80" i="2"/>
  <c r="R79" i="2" s="1"/>
  <c r="Q80" i="2"/>
  <c r="T79" i="2"/>
  <c r="Q79" i="2"/>
  <c r="P79" i="2"/>
  <c r="O79" i="2"/>
  <c r="N79" i="2"/>
  <c r="M79" i="2"/>
  <c r="L79" i="2"/>
  <c r="K79" i="2"/>
  <c r="J79" i="2"/>
  <c r="I79" i="2"/>
  <c r="U78" i="2"/>
  <c r="S78" i="2"/>
  <c r="R78" i="2"/>
  <c r="S77" i="2"/>
  <c r="U77" i="2" s="1"/>
  <c r="R77" i="2"/>
  <c r="R76" i="2"/>
  <c r="S76" i="2" s="1"/>
  <c r="M76" i="2"/>
  <c r="M75" i="2" s="1"/>
  <c r="T75" i="2"/>
  <c r="Q75" i="2"/>
  <c r="P75" i="2"/>
  <c r="O75" i="2"/>
  <c r="N75" i="2"/>
  <c r="L75" i="2"/>
  <c r="K75" i="2"/>
  <c r="J75" i="2"/>
  <c r="I75" i="2"/>
  <c r="S74" i="2"/>
  <c r="U74" i="2" s="1"/>
  <c r="U73" i="2"/>
  <c r="U72" i="2"/>
  <c r="U71" i="2"/>
  <c r="U70" i="2"/>
  <c r="R70" i="2"/>
  <c r="R69" i="2"/>
  <c r="S69" i="2" s="1"/>
  <c r="T68" i="2"/>
  <c r="Q68" i="2"/>
  <c r="Q67" i="2" s="1"/>
  <c r="Q66" i="2" s="1"/>
  <c r="Q90" i="2" s="1"/>
  <c r="P68" i="2"/>
  <c r="O68" i="2"/>
  <c r="N68" i="2"/>
  <c r="N67" i="2" s="1"/>
  <c r="N66" i="2" s="1"/>
  <c r="N90" i="2" s="1"/>
  <c r="M68" i="2"/>
  <c r="M67" i="2" s="1"/>
  <c r="L68" i="2"/>
  <c r="K68" i="2"/>
  <c r="J68" i="2"/>
  <c r="J67" i="2" s="1"/>
  <c r="J66" i="2" s="1"/>
  <c r="J90" i="2" s="1"/>
  <c r="I68" i="2"/>
  <c r="I67" i="2" s="1"/>
  <c r="I66" i="2" s="1"/>
  <c r="I90" i="2" s="1"/>
  <c r="T67" i="2"/>
  <c r="P67" i="2"/>
  <c r="O67" i="2"/>
  <c r="O66" i="2" s="1"/>
  <c r="O90" i="2" s="1"/>
  <c r="L67" i="2"/>
  <c r="K67" i="2"/>
  <c r="K66" i="2" s="1"/>
  <c r="K90" i="2" s="1"/>
  <c r="T66" i="2"/>
  <c r="T90" i="2" s="1"/>
  <c r="P66" i="2"/>
  <c r="P90" i="2" s="1"/>
  <c r="L66" i="2"/>
  <c r="L90" i="2" s="1"/>
  <c r="O64" i="2"/>
  <c r="K64" i="2"/>
  <c r="Q63" i="2"/>
  <c r="S63" i="2" s="1"/>
  <c r="S64" i="2" s="1"/>
  <c r="P63" i="2"/>
  <c r="R63" i="2" s="1"/>
  <c r="S62" i="2"/>
  <c r="U62" i="2" s="1"/>
  <c r="Q62" i="2"/>
  <c r="N62" i="2"/>
  <c r="P62" i="2" s="1"/>
  <c r="R62" i="2" s="1"/>
  <c r="T62" i="2" s="1"/>
  <c r="R61" i="2"/>
  <c r="T61" i="2" s="1"/>
  <c r="Q61" i="2"/>
  <c r="S61" i="2" s="1"/>
  <c r="U61" i="2" s="1"/>
  <c r="S60" i="2"/>
  <c r="U60" i="2" s="1"/>
  <c r="R60" i="2"/>
  <c r="T60" i="2" s="1"/>
  <c r="P60" i="2"/>
  <c r="F59" i="2"/>
  <c r="E59" i="2"/>
  <c r="D59" i="2"/>
  <c r="S57" i="2"/>
  <c r="O57" i="2"/>
  <c r="N57" i="2"/>
  <c r="L57" i="2"/>
  <c r="S56" i="2"/>
  <c r="U56" i="2" s="1"/>
  <c r="Q56" i="2"/>
  <c r="Q57" i="2" s="1"/>
  <c r="P56" i="2"/>
  <c r="U55" i="2"/>
  <c r="S55" i="2"/>
  <c r="R55" i="2"/>
  <c r="R54" i="2"/>
  <c r="T54" i="2" s="1"/>
  <c r="Q54" i="2"/>
  <c r="S54" i="2" s="1"/>
  <c r="U54" i="2" s="1"/>
  <c r="P54" i="2"/>
  <c r="D54" i="2"/>
  <c r="T52" i="2"/>
  <c r="Q52" i="2"/>
  <c r="S52" i="2" s="1"/>
  <c r="U52" i="2" s="1"/>
  <c r="I52" i="2"/>
  <c r="I47" i="2" s="1"/>
  <c r="G52" i="2"/>
  <c r="S51" i="2"/>
  <c r="U51" i="2" s="1"/>
  <c r="R51" i="2"/>
  <c r="T51" i="2" s="1"/>
  <c r="G51" i="2"/>
  <c r="T50" i="2"/>
  <c r="S50" i="2"/>
  <c r="U50" i="2" s="1"/>
  <c r="R50" i="2"/>
  <c r="G50" i="2"/>
  <c r="U49" i="2"/>
  <c r="T49" i="2"/>
  <c r="R49" i="2"/>
  <c r="Q49" i="2"/>
  <c r="S49" i="2" s="1"/>
  <c r="G49" i="2"/>
  <c r="T48" i="2"/>
  <c r="L48" i="2"/>
  <c r="K48" i="2"/>
  <c r="J48" i="2"/>
  <c r="I48" i="2"/>
  <c r="H48" i="2"/>
  <c r="G48" i="2"/>
  <c r="G47" i="2" s="1"/>
  <c r="D48" i="2"/>
  <c r="D47" i="2" s="1"/>
  <c r="R47" i="2"/>
  <c r="P47" i="2"/>
  <c r="O47" i="2"/>
  <c r="N47" i="2"/>
  <c r="M47" i="2"/>
  <c r="L47" i="2"/>
  <c r="K47" i="2"/>
  <c r="J47" i="2"/>
  <c r="F47" i="2"/>
  <c r="E47" i="2"/>
  <c r="T46" i="2"/>
  <c r="S46" i="2"/>
  <c r="U46" i="2" s="1"/>
  <c r="G46" i="2"/>
  <c r="U45" i="2"/>
  <c r="T45" i="2" s="1"/>
  <c r="S45" i="2"/>
  <c r="R45" i="2"/>
  <c r="G45" i="2"/>
  <c r="G36" i="2" s="1"/>
  <c r="U44" i="2"/>
  <c r="T44" i="2" s="1"/>
  <c r="S44" i="2"/>
  <c r="R44" i="2"/>
  <c r="G44" i="2"/>
  <c r="S43" i="2"/>
  <c r="U43" i="2" s="1"/>
  <c r="R43" i="2"/>
  <c r="T43" i="2" s="1"/>
  <c r="G43" i="2"/>
  <c r="T42" i="2"/>
  <c r="S42" i="2"/>
  <c r="U42" i="2" s="1"/>
  <c r="R42" i="2"/>
  <c r="T41" i="2"/>
  <c r="S41" i="2"/>
  <c r="U41" i="2" s="1"/>
  <c r="R41" i="2"/>
  <c r="G41" i="2"/>
  <c r="U40" i="2"/>
  <c r="T40" i="2"/>
  <c r="S40" i="2"/>
  <c r="R40" i="2"/>
  <c r="U39" i="2"/>
  <c r="T39" i="2"/>
  <c r="S39" i="2"/>
  <c r="R39" i="2"/>
  <c r="U38" i="2"/>
  <c r="T38" i="2"/>
  <c r="S38" i="2"/>
  <c r="R38" i="2"/>
  <c r="G38" i="2"/>
  <c r="U37" i="2"/>
  <c r="S37" i="2"/>
  <c r="R37" i="2"/>
  <c r="T37" i="2" s="1"/>
  <c r="G37" i="2"/>
  <c r="F37" i="2"/>
  <c r="E37" i="2"/>
  <c r="D37" i="2"/>
  <c r="U36" i="2"/>
  <c r="S36" i="2"/>
  <c r="R36" i="2"/>
  <c r="T36" i="2" s="1"/>
  <c r="D36" i="2"/>
  <c r="T33" i="2"/>
  <c r="S33" i="2"/>
  <c r="U33" i="2" s="1"/>
  <c r="R33" i="2"/>
  <c r="Q33" i="2"/>
  <c r="P33" i="2"/>
  <c r="T32" i="2"/>
  <c r="R32" i="2"/>
  <c r="Q32" i="2"/>
  <c r="S32" i="2" s="1"/>
  <c r="U32" i="2" s="1"/>
  <c r="P32" i="2"/>
  <c r="T31" i="2"/>
  <c r="S31" i="2"/>
  <c r="U31" i="2" s="1"/>
  <c r="Q31" i="2"/>
  <c r="P31" i="2"/>
  <c r="R31" i="2" s="1"/>
  <c r="N31" i="2"/>
  <c r="G31" i="2"/>
  <c r="T30" i="2"/>
  <c r="S30" i="2"/>
  <c r="U30" i="2" s="1"/>
  <c r="R30" i="2"/>
  <c r="Q30" i="2"/>
  <c r="N30" i="2"/>
  <c r="R29" i="2"/>
  <c r="T29" i="2" s="1"/>
  <c r="Q29" i="2"/>
  <c r="S29" i="2" s="1"/>
  <c r="U29" i="2" s="1"/>
  <c r="P29" i="2"/>
  <c r="G29" i="2"/>
  <c r="Q28" i="2"/>
  <c r="S28" i="2" s="1"/>
  <c r="U28" i="2" s="1"/>
  <c r="P28" i="2"/>
  <c r="R28" i="2" s="1"/>
  <c r="T28" i="2" s="1"/>
  <c r="G28" i="2"/>
  <c r="S27" i="2"/>
  <c r="U27" i="2" s="1"/>
  <c r="Q27" i="2"/>
  <c r="P27" i="2"/>
  <c r="R27" i="2" s="1"/>
  <c r="T27" i="2" s="1"/>
  <c r="N27" i="2"/>
  <c r="G27" i="2"/>
  <c r="S26" i="2"/>
  <c r="U26" i="2" s="1"/>
  <c r="Q26" i="2"/>
  <c r="P26" i="2"/>
  <c r="R26" i="2" s="1"/>
  <c r="T26" i="2" s="1"/>
  <c r="N26" i="2"/>
  <c r="G26" i="2"/>
  <c r="D26" i="2"/>
  <c r="U24" i="2"/>
  <c r="Q24" i="2"/>
  <c r="S24" i="2" s="1"/>
  <c r="P24" i="2"/>
  <c r="R24" i="2" s="1"/>
  <c r="T24" i="2" s="1"/>
  <c r="N24" i="2"/>
  <c r="T23" i="2"/>
  <c r="S23" i="2"/>
  <c r="U23" i="2" s="1"/>
  <c r="Q23" i="2"/>
  <c r="P23" i="2"/>
  <c r="R23" i="2" s="1"/>
  <c r="R22" i="2"/>
  <c r="T22" i="2" s="1"/>
  <c r="Q22" i="2"/>
  <c r="S22" i="2" s="1"/>
  <c r="U22" i="2" s="1"/>
  <c r="P22" i="2"/>
  <c r="G22" i="2"/>
  <c r="U21" i="2"/>
  <c r="Q21" i="2"/>
  <c r="S21" i="2" s="1"/>
  <c r="P21" i="2"/>
  <c r="R21" i="2" s="1"/>
  <c r="T21" i="2" s="1"/>
  <c r="N21" i="2"/>
  <c r="T20" i="2"/>
  <c r="S20" i="2"/>
  <c r="U20" i="2" s="1"/>
  <c r="Q20" i="2"/>
  <c r="P20" i="2"/>
  <c r="R20" i="2" s="1"/>
  <c r="N20" i="2"/>
  <c r="S19" i="2"/>
  <c r="U19" i="2" s="1"/>
  <c r="R19" i="2"/>
  <c r="T19" i="2" s="1"/>
  <c r="Q19" i="2"/>
  <c r="P19" i="2"/>
  <c r="Q18" i="2"/>
  <c r="S18" i="2" s="1"/>
  <c r="U18" i="2" s="1"/>
  <c r="P18" i="2"/>
  <c r="R18" i="2" s="1"/>
  <c r="T18" i="2" s="1"/>
  <c r="J18" i="2"/>
  <c r="S17" i="2"/>
  <c r="U17" i="2" s="1"/>
  <c r="Q17" i="2"/>
  <c r="P17" i="2"/>
  <c r="R17" i="2" s="1"/>
  <c r="T17" i="2" s="1"/>
  <c r="N17" i="2"/>
  <c r="J17" i="2"/>
  <c r="G17" i="2"/>
  <c r="Q16" i="2"/>
  <c r="P16" i="2"/>
  <c r="R16" i="2" s="1"/>
  <c r="T16" i="2" s="1"/>
  <c r="N16" i="2"/>
  <c r="J16" i="2"/>
  <c r="G16" i="2"/>
  <c r="R15" i="2"/>
  <c r="T15" i="2" s="1"/>
  <c r="Q15" i="2"/>
  <c r="S15" i="2" s="1"/>
  <c r="P15" i="2"/>
  <c r="N15" i="2"/>
  <c r="G15" i="2"/>
  <c r="O14" i="2"/>
  <c r="N14" i="2"/>
  <c r="M14" i="2"/>
  <c r="L14" i="2"/>
  <c r="K14" i="2"/>
  <c r="G14" i="2"/>
  <c r="F14" i="2"/>
  <c r="E14" i="2"/>
  <c r="D14" i="2"/>
  <c r="Q13" i="2"/>
  <c r="P13" i="2"/>
  <c r="R13" i="2" s="1"/>
  <c r="O13" i="2"/>
  <c r="N13" i="2"/>
  <c r="N12" i="2" s="1"/>
  <c r="L13" i="2"/>
  <c r="L12" i="2" s="1"/>
  <c r="K13" i="2"/>
  <c r="G13" i="2"/>
  <c r="O12" i="2"/>
  <c r="K12" i="2"/>
  <c r="J12" i="2"/>
  <c r="I12" i="2"/>
  <c r="F12" i="2"/>
  <c r="D12" i="2"/>
  <c r="J29" i="3" l="1"/>
  <c r="M29" i="3"/>
  <c r="L29" i="3" s="1"/>
  <c r="J21" i="3"/>
  <c r="M21" i="3"/>
  <c r="L21" i="3" s="1"/>
  <c r="M20" i="3"/>
  <c r="L20" i="3" s="1"/>
  <c r="J20" i="3"/>
  <c r="J19" i="3"/>
  <c r="M19" i="3"/>
  <c r="L19" i="3" s="1"/>
  <c r="L66" i="3"/>
  <c r="L90" i="3" s="1"/>
  <c r="I66" i="3"/>
  <c r="I90" i="3" s="1"/>
  <c r="G90" i="3"/>
  <c r="J94" i="3"/>
  <c r="J95" i="3" s="1"/>
  <c r="K94" i="3"/>
  <c r="K95" i="3" s="1"/>
  <c r="H90" i="3"/>
  <c r="E90" i="3"/>
  <c r="J44" i="3"/>
  <c r="J47" i="3"/>
  <c r="E12" i="3"/>
  <c r="K14" i="3"/>
  <c r="J75" i="3"/>
  <c r="J66" i="3" s="1"/>
  <c r="M46" i="3"/>
  <c r="L46" i="3" s="1"/>
  <c r="J46" i="3"/>
  <c r="H14" i="3"/>
  <c r="H12" i="3" s="1"/>
  <c r="J64" i="3"/>
  <c r="L63" i="3"/>
  <c r="L64" i="3" s="1"/>
  <c r="D66" i="3"/>
  <c r="D90" i="3" s="1"/>
  <c r="I14" i="3"/>
  <c r="I12" i="3" s="1"/>
  <c r="M57" i="3"/>
  <c r="K57" i="3"/>
  <c r="L96" i="3"/>
  <c r="L97" i="3" s="1"/>
  <c r="J97" i="3"/>
  <c r="L47" i="3"/>
  <c r="M79" i="3"/>
  <c r="K79" i="3"/>
  <c r="M50" i="3"/>
  <c r="M47" i="3" s="1"/>
  <c r="K47" i="3"/>
  <c r="K68" i="3"/>
  <c r="K67" i="3" s="1"/>
  <c r="M68" i="3"/>
  <c r="M67" i="3" s="1"/>
  <c r="M15" i="3"/>
  <c r="M14" i="3" s="1"/>
  <c r="K75" i="3"/>
  <c r="M75" i="3"/>
  <c r="I47" i="3"/>
  <c r="J56" i="3"/>
  <c r="K63" i="3"/>
  <c r="J79" i="3"/>
  <c r="I91" i="3"/>
  <c r="K92" i="3"/>
  <c r="M94" i="3"/>
  <c r="M95" i="3" s="1"/>
  <c r="K96" i="3"/>
  <c r="H97" i="3"/>
  <c r="H64" i="3"/>
  <c r="H91" i="3"/>
  <c r="J92" i="3"/>
  <c r="T13" i="2"/>
  <c r="R12" i="2"/>
  <c r="R14" i="2"/>
  <c r="U15" i="2"/>
  <c r="U14" i="2" s="1"/>
  <c r="S47" i="2"/>
  <c r="U47" i="2"/>
  <c r="U57" i="2"/>
  <c r="R64" i="2"/>
  <c r="T63" i="2"/>
  <c r="T64" i="2" s="1"/>
  <c r="M66" i="2"/>
  <c r="M90" i="2" s="1"/>
  <c r="S75" i="2"/>
  <c r="U76" i="2"/>
  <c r="U75" i="2" s="1"/>
  <c r="T14" i="2"/>
  <c r="T47" i="2"/>
  <c r="P57" i="2"/>
  <c r="R56" i="2"/>
  <c r="T56" i="2" s="1"/>
  <c r="Q64" i="2"/>
  <c r="R68" i="2"/>
  <c r="R67" i="2" s="1"/>
  <c r="S13" i="2"/>
  <c r="Q14" i="2"/>
  <c r="Q12" i="2" s="1"/>
  <c r="S16" i="2"/>
  <c r="U16" i="2" s="1"/>
  <c r="T55" i="2"/>
  <c r="T57" i="2" s="1"/>
  <c r="U63" i="2"/>
  <c r="U64" i="2" s="1"/>
  <c r="U79" i="2"/>
  <c r="S68" i="2"/>
  <c r="S67" i="2" s="1"/>
  <c r="S66" i="2" s="1"/>
  <c r="U69" i="2"/>
  <c r="U68" i="2" s="1"/>
  <c r="U67" i="2" s="1"/>
  <c r="U66" i="2" s="1"/>
  <c r="U90" i="2" s="1"/>
  <c r="P14" i="2"/>
  <c r="P12" i="2" s="1"/>
  <c r="R46" i="2"/>
  <c r="Q47" i="2"/>
  <c r="Q91" i="2"/>
  <c r="S92" i="2"/>
  <c r="E93" i="2"/>
  <c r="U94" i="2"/>
  <c r="U95" i="2" s="1"/>
  <c r="G95" i="2"/>
  <c r="S96" i="2"/>
  <c r="R97" i="2"/>
  <c r="P64" i="2"/>
  <c r="R75" i="2"/>
  <c r="S79" i="2"/>
  <c r="N91" i="2"/>
  <c r="R94" i="2"/>
  <c r="G93" i="2"/>
  <c r="R92" i="2"/>
  <c r="L94" i="3" l="1"/>
  <c r="L95" i="3" s="1"/>
  <c r="M66" i="3"/>
  <c r="M90" i="3" s="1"/>
  <c r="J90" i="3"/>
  <c r="K66" i="3"/>
  <c r="K90" i="3" s="1"/>
  <c r="M63" i="3"/>
  <c r="M64" i="3" s="1"/>
  <c r="K64" i="3"/>
  <c r="J57" i="3"/>
  <c r="L56" i="3"/>
  <c r="L57" i="3" s="1"/>
  <c r="M12" i="3"/>
  <c r="K12" i="3"/>
  <c r="J14" i="3"/>
  <c r="J12" i="3" s="1"/>
  <c r="L14" i="3"/>
  <c r="J91" i="3"/>
  <c r="J93" i="3"/>
  <c r="L92" i="3"/>
  <c r="K93" i="3"/>
  <c r="M92" i="3"/>
  <c r="K91" i="3"/>
  <c r="K97" i="3"/>
  <c r="M96" i="3"/>
  <c r="M97" i="3" s="1"/>
  <c r="S12" i="2"/>
  <c r="U13" i="2"/>
  <c r="U12" i="2" s="1"/>
  <c r="R95" i="2"/>
  <c r="T94" i="2"/>
  <c r="T95" i="2" s="1"/>
  <c r="S90" i="2"/>
  <c r="R57" i="2"/>
  <c r="S14" i="2"/>
  <c r="R93" i="2"/>
  <c r="T92" i="2"/>
  <c r="R91" i="2"/>
  <c r="R66" i="2"/>
  <c r="R90" i="2" s="1"/>
  <c r="U96" i="2"/>
  <c r="U97" i="2" s="1"/>
  <c r="S97" i="2"/>
  <c r="S93" i="2"/>
  <c r="U92" i="2"/>
  <c r="S91" i="2"/>
  <c r="T12" i="2"/>
  <c r="L12" i="3" l="1"/>
  <c r="M93" i="3"/>
  <c r="M91" i="3"/>
  <c r="L93" i="3"/>
  <c r="L91" i="3"/>
  <c r="T93" i="2"/>
  <c r="T91" i="2"/>
  <c r="U93" i="2"/>
  <c r="U91" i="2"/>
  <c r="Q97" i="1" l="1"/>
  <c r="P97" i="1"/>
  <c r="M97" i="1"/>
  <c r="L97" i="1"/>
  <c r="K97" i="1"/>
  <c r="J97" i="1"/>
  <c r="I97" i="1"/>
  <c r="F97" i="1"/>
  <c r="E97" i="1"/>
  <c r="D97" i="1"/>
  <c r="S96" i="1"/>
  <c r="U96" i="1" s="1"/>
  <c r="U97" i="1" s="1"/>
  <c r="R96" i="1"/>
  <c r="R97" i="1" s="1"/>
  <c r="Q96" i="1"/>
  <c r="N96" i="1"/>
  <c r="N97" i="1" s="1"/>
  <c r="G96" i="1"/>
  <c r="G97" i="1" s="1"/>
  <c r="P95" i="1"/>
  <c r="M95" i="1"/>
  <c r="L95" i="1"/>
  <c r="K95" i="1"/>
  <c r="J95" i="1"/>
  <c r="I95" i="1"/>
  <c r="F95" i="1"/>
  <c r="E95" i="1"/>
  <c r="D95" i="1"/>
  <c r="T94" i="1"/>
  <c r="T95" i="1" s="1"/>
  <c r="R94" i="1"/>
  <c r="Q94" i="1"/>
  <c r="R95" i="1" s="1"/>
  <c r="N94" i="1"/>
  <c r="N95" i="1" s="1"/>
  <c r="G94" i="1"/>
  <c r="H95" i="1" s="1"/>
  <c r="Q93" i="1"/>
  <c r="P93" i="1"/>
  <c r="M93" i="1"/>
  <c r="L93" i="1"/>
  <c r="K93" i="1"/>
  <c r="J93" i="1"/>
  <c r="I93" i="1"/>
  <c r="F93" i="1"/>
  <c r="S92" i="1"/>
  <c r="S93" i="1" s="1"/>
  <c r="R92" i="1"/>
  <c r="R91" i="1" s="1"/>
  <c r="Q92" i="1"/>
  <c r="N92" i="1"/>
  <c r="N93" i="1" s="1"/>
  <c r="G92" i="1"/>
  <c r="H93" i="1" s="1"/>
  <c r="D92" i="1"/>
  <c r="D93" i="1" s="1"/>
  <c r="P91" i="1"/>
  <c r="N91" i="1"/>
  <c r="M91" i="1"/>
  <c r="L91" i="1"/>
  <c r="K91" i="1"/>
  <c r="J91" i="1"/>
  <c r="I91" i="1"/>
  <c r="F91" i="1"/>
  <c r="E91" i="1"/>
  <c r="D91" i="1"/>
  <c r="S89" i="1"/>
  <c r="S88" i="1"/>
  <c r="S87" i="1"/>
  <c r="S86" i="1"/>
  <c r="T86" i="1" s="1"/>
  <c r="V86" i="1" s="1"/>
  <c r="R86" i="1"/>
  <c r="S85" i="1"/>
  <c r="T85" i="1" s="1"/>
  <c r="R85" i="1"/>
  <c r="S84" i="1"/>
  <c r="S83" i="1"/>
  <c r="S82" i="1"/>
  <c r="S79" i="1" s="1"/>
  <c r="S81" i="1"/>
  <c r="S80" i="1"/>
  <c r="U79" i="1"/>
  <c r="R79" i="1"/>
  <c r="Q79" i="1"/>
  <c r="P79" i="1"/>
  <c r="O79" i="1"/>
  <c r="N79" i="1"/>
  <c r="M79" i="1"/>
  <c r="L79" i="1"/>
  <c r="K79" i="1"/>
  <c r="J79" i="1"/>
  <c r="I79" i="1"/>
  <c r="S78" i="1"/>
  <c r="S77" i="1"/>
  <c r="S76" i="1"/>
  <c r="M76" i="1"/>
  <c r="M75" i="1" s="1"/>
  <c r="V75" i="1"/>
  <c r="U75" i="1"/>
  <c r="T75" i="1"/>
  <c r="S75" i="1"/>
  <c r="R75" i="1"/>
  <c r="Q75" i="1"/>
  <c r="P75" i="1"/>
  <c r="O75" i="1"/>
  <c r="N75" i="1"/>
  <c r="L75" i="1"/>
  <c r="K75" i="1"/>
  <c r="J75" i="1"/>
  <c r="I75" i="1"/>
  <c r="S70" i="1"/>
  <c r="S69" i="1"/>
  <c r="V68" i="1"/>
  <c r="U68" i="1"/>
  <c r="T68" i="1"/>
  <c r="T67" i="1" s="1"/>
  <c r="T66" i="1" s="1"/>
  <c r="S68" i="1"/>
  <c r="S67" i="1" s="1"/>
  <c r="S66" i="1" s="1"/>
  <c r="S90" i="1" s="1"/>
  <c r="R68" i="1"/>
  <c r="Q68" i="1"/>
  <c r="P68" i="1"/>
  <c r="P67" i="1" s="1"/>
  <c r="P66" i="1" s="1"/>
  <c r="P90" i="1" s="1"/>
  <c r="O68" i="1"/>
  <c r="O67" i="1" s="1"/>
  <c r="O66" i="1" s="1"/>
  <c r="O90" i="1" s="1"/>
  <c r="N68" i="1"/>
  <c r="M68" i="1"/>
  <c r="L68" i="1"/>
  <c r="L67" i="1" s="1"/>
  <c r="L66" i="1" s="1"/>
  <c r="L90" i="1" s="1"/>
  <c r="K68" i="1"/>
  <c r="K67" i="1" s="1"/>
  <c r="K66" i="1" s="1"/>
  <c r="K90" i="1" s="1"/>
  <c r="J68" i="1"/>
  <c r="I68" i="1"/>
  <c r="V67" i="1"/>
  <c r="V66" i="1" s="1"/>
  <c r="U67" i="1"/>
  <c r="U66" i="1" s="1"/>
  <c r="U90" i="1" s="1"/>
  <c r="R67" i="1"/>
  <c r="R66" i="1" s="1"/>
  <c r="R90" i="1" s="1"/>
  <c r="Q67" i="1"/>
  <c r="Q66" i="1" s="1"/>
  <c r="Q90" i="1" s="1"/>
  <c r="N67" i="1"/>
  <c r="N66" i="1" s="1"/>
  <c r="N90" i="1" s="1"/>
  <c r="M67" i="1"/>
  <c r="M66" i="1" s="1"/>
  <c r="M90" i="1" s="1"/>
  <c r="J67" i="1"/>
  <c r="J66" i="1" s="1"/>
  <c r="J90" i="1" s="1"/>
  <c r="I67" i="1"/>
  <c r="I66" i="1" s="1"/>
  <c r="I90" i="1" s="1"/>
  <c r="P64" i="1"/>
  <c r="K64" i="1"/>
  <c r="R63" i="1"/>
  <c r="R64" i="1" s="1"/>
  <c r="Q63" i="1"/>
  <c r="Q64" i="1" s="1"/>
  <c r="T62" i="1"/>
  <c r="V62" i="1" s="1"/>
  <c r="R62" i="1"/>
  <c r="N62" i="1"/>
  <c r="Q62" i="1" s="1"/>
  <c r="S62" i="1" s="1"/>
  <c r="U62" i="1" s="1"/>
  <c r="S61" i="1"/>
  <c r="U61" i="1" s="1"/>
  <c r="R61" i="1"/>
  <c r="T61" i="1" s="1"/>
  <c r="V61" i="1" s="1"/>
  <c r="T60" i="1"/>
  <c r="V60" i="1" s="1"/>
  <c r="S60" i="1"/>
  <c r="U60" i="1" s="1"/>
  <c r="Q60" i="1"/>
  <c r="F59" i="1"/>
  <c r="E59" i="1"/>
  <c r="D59" i="1"/>
  <c r="R57" i="1"/>
  <c r="P57" i="1"/>
  <c r="N57" i="1"/>
  <c r="L57" i="1"/>
  <c r="T56" i="1"/>
  <c r="T57" i="1" s="1"/>
  <c r="R56" i="1"/>
  <c r="Q56" i="1"/>
  <c r="S56" i="1" s="1"/>
  <c r="U56" i="1" s="1"/>
  <c r="V55" i="1"/>
  <c r="T55" i="1"/>
  <c r="S55" i="1"/>
  <c r="S54" i="1"/>
  <c r="U54" i="1" s="1"/>
  <c r="R54" i="1"/>
  <c r="T54" i="1" s="1"/>
  <c r="V54" i="1" s="1"/>
  <c r="Q54" i="1"/>
  <c r="D54" i="1"/>
  <c r="V52" i="1"/>
  <c r="U52" i="1"/>
  <c r="T52" i="1"/>
  <c r="R52" i="1"/>
  <c r="I52" i="1"/>
  <c r="I47" i="1" s="1"/>
  <c r="G52" i="1"/>
  <c r="T51" i="1"/>
  <c r="V51" i="1" s="1"/>
  <c r="S51" i="1"/>
  <c r="U51" i="1" s="1"/>
  <c r="G51" i="1"/>
  <c r="U50" i="1"/>
  <c r="T50" i="1"/>
  <c r="V50" i="1" s="1"/>
  <c r="V47" i="1" s="1"/>
  <c r="S50" i="1"/>
  <c r="G50" i="1"/>
  <c r="U49" i="1"/>
  <c r="S49" i="1"/>
  <c r="R49" i="1"/>
  <c r="T49" i="1" s="1"/>
  <c r="V49" i="1" s="1"/>
  <c r="G49" i="1"/>
  <c r="U48" i="1"/>
  <c r="L48" i="1"/>
  <c r="K48" i="1"/>
  <c r="J48" i="1"/>
  <c r="I48" i="1"/>
  <c r="H48" i="1"/>
  <c r="G48" i="1"/>
  <c r="G47" i="1" s="1"/>
  <c r="D48" i="1"/>
  <c r="D47" i="1" s="1"/>
  <c r="T47" i="1"/>
  <c r="S47" i="1"/>
  <c r="R47" i="1"/>
  <c r="Q47" i="1"/>
  <c r="P47" i="1"/>
  <c r="N47" i="1"/>
  <c r="M47" i="1"/>
  <c r="L47" i="1"/>
  <c r="K47" i="1"/>
  <c r="J47" i="1"/>
  <c r="F47" i="1"/>
  <c r="E47" i="1"/>
  <c r="T46" i="1"/>
  <c r="S46" i="1" s="1"/>
  <c r="G46" i="1"/>
  <c r="V45" i="1"/>
  <c r="U45" i="1"/>
  <c r="T45" i="1"/>
  <c r="S45" i="1" s="1"/>
  <c r="G45" i="1"/>
  <c r="V44" i="1"/>
  <c r="U44" i="1" s="1"/>
  <c r="T44" i="1"/>
  <c r="S44" i="1"/>
  <c r="G44" i="1"/>
  <c r="T43" i="1"/>
  <c r="V43" i="1" s="1"/>
  <c r="S43" i="1"/>
  <c r="U43" i="1" s="1"/>
  <c r="G43" i="1"/>
  <c r="U42" i="1"/>
  <c r="T42" i="1"/>
  <c r="V42" i="1" s="1"/>
  <c r="S42" i="1"/>
  <c r="U41" i="1"/>
  <c r="T41" i="1"/>
  <c r="V41" i="1" s="1"/>
  <c r="S41" i="1"/>
  <c r="G41" i="1"/>
  <c r="V40" i="1"/>
  <c r="U40" i="1"/>
  <c r="T40" i="1"/>
  <c r="S40" i="1"/>
  <c r="V39" i="1"/>
  <c r="U39" i="1"/>
  <c r="T39" i="1"/>
  <c r="S39" i="1"/>
  <c r="V38" i="1"/>
  <c r="U38" i="1"/>
  <c r="T38" i="1"/>
  <c r="S38" i="1"/>
  <c r="G38" i="1"/>
  <c r="V37" i="1"/>
  <c r="T37" i="1"/>
  <c r="S37" i="1"/>
  <c r="U37" i="1" s="1"/>
  <c r="G37" i="1"/>
  <c r="F37" i="1"/>
  <c r="E37" i="1"/>
  <c r="D37" i="1"/>
  <c r="V36" i="1"/>
  <c r="T36" i="1"/>
  <c r="S36" i="1"/>
  <c r="U36" i="1" s="1"/>
  <c r="G36" i="1"/>
  <c r="D36" i="1"/>
  <c r="U33" i="1"/>
  <c r="T33" i="1"/>
  <c r="V33" i="1" s="1"/>
  <c r="S33" i="1"/>
  <c r="R33" i="1"/>
  <c r="Q33" i="1"/>
  <c r="O33" i="1"/>
  <c r="U32" i="1"/>
  <c r="T32" i="1"/>
  <c r="V32" i="1" s="1"/>
  <c r="S32" i="1"/>
  <c r="R32" i="1"/>
  <c r="Q32" i="1"/>
  <c r="O32" i="1"/>
  <c r="S31" i="1"/>
  <c r="U31" i="1" s="1"/>
  <c r="R31" i="1"/>
  <c r="T31" i="1" s="1"/>
  <c r="V31" i="1" s="1"/>
  <c r="Q31" i="1"/>
  <c r="N31" i="1"/>
  <c r="G31" i="1"/>
  <c r="S30" i="1"/>
  <c r="U30" i="1" s="1"/>
  <c r="R30" i="1"/>
  <c r="T30" i="1" s="1"/>
  <c r="V30" i="1" s="1"/>
  <c r="N30" i="1"/>
  <c r="T29" i="1"/>
  <c r="V29" i="1" s="1"/>
  <c r="R29" i="1"/>
  <c r="Q29" i="1"/>
  <c r="S29" i="1" s="1"/>
  <c r="U29" i="1" s="1"/>
  <c r="G29" i="1"/>
  <c r="T28" i="1"/>
  <c r="V28" i="1" s="1"/>
  <c r="S28" i="1"/>
  <c r="U28" i="1" s="1"/>
  <c r="R28" i="1"/>
  <c r="Q28" i="1"/>
  <c r="G28" i="1"/>
  <c r="S27" i="1"/>
  <c r="U27" i="1" s="1"/>
  <c r="R27" i="1"/>
  <c r="T27" i="1" s="1"/>
  <c r="V27" i="1" s="1"/>
  <c r="Q27" i="1"/>
  <c r="N27" i="1"/>
  <c r="G27" i="1"/>
  <c r="S26" i="1"/>
  <c r="U26" i="1" s="1"/>
  <c r="R26" i="1"/>
  <c r="T26" i="1" s="1"/>
  <c r="V26" i="1" s="1"/>
  <c r="Q26" i="1"/>
  <c r="N26" i="1"/>
  <c r="G26" i="1"/>
  <c r="D26" i="1"/>
  <c r="T24" i="1"/>
  <c r="V24" i="1" s="1"/>
  <c r="S24" i="1"/>
  <c r="U24" i="1" s="1"/>
  <c r="R24" i="1"/>
  <c r="Q24" i="1"/>
  <c r="N24" i="1"/>
  <c r="S23" i="1"/>
  <c r="U23" i="1" s="1"/>
  <c r="R23" i="1"/>
  <c r="T23" i="1" s="1"/>
  <c r="V23" i="1" s="1"/>
  <c r="Q23" i="1"/>
  <c r="T22" i="1"/>
  <c r="V22" i="1" s="1"/>
  <c r="R22" i="1"/>
  <c r="Q22" i="1"/>
  <c r="S22" i="1" s="1"/>
  <c r="U22" i="1" s="1"/>
  <c r="G22" i="1"/>
  <c r="T21" i="1"/>
  <c r="V21" i="1" s="1"/>
  <c r="S21" i="1"/>
  <c r="U21" i="1" s="1"/>
  <c r="R21" i="1"/>
  <c r="Q21" i="1"/>
  <c r="N21" i="1"/>
  <c r="S20" i="1"/>
  <c r="U20" i="1" s="1"/>
  <c r="R20" i="1"/>
  <c r="T20" i="1" s="1"/>
  <c r="V20" i="1" s="1"/>
  <c r="Q20" i="1"/>
  <c r="N20" i="1"/>
  <c r="R19" i="1"/>
  <c r="T19" i="1" s="1"/>
  <c r="V19" i="1" s="1"/>
  <c r="Q19" i="1"/>
  <c r="S19" i="1" s="1"/>
  <c r="U19" i="1" s="1"/>
  <c r="T18" i="1"/>
  <c r="V18" i="1" s="1"/>
  <c r="S18" i="1"/>
  <c r="U18" i="1" s="1"/>
  <c r="R18" i="1"/>
  <c r="Q18" i="1"/>
  <c r="J18" i="1"/>
  <c r="J12" i="1" s="1"/>
  <c r="S17" i="1"/>
  <c r="U17" i="1" s="1"/>
  <c r="R17" i="1"/>
  <c r="T17" i="1" s="1"/>
  <c r="Q17" i="1"/>
  <c r="N17" i="1"/>
  <c r="J17" i="1"/>
  <c r="G17" i="1"/>
  <c r="T16" i="1"/>
  <c r="V16" i="1" s="1"/>
  <c r="S16" i="1"/>
  <c r="U16" i="1" s="1"/>
  <c r="R16" i="1"/>
  <c r="Q16" i="1"/>
  <c r="N16" i="1"/>
  <c r="J16" i="1"/>
  <c r="G16" i="1"/>
  <c r="T15" i="1"/>
  <c r="V15" i="1" s="1"/>
  <c r="R15" i="1"/>
  <c r="Q15" i="1"/>
  <c r="S15" i="1" s="1"/>
  <c r="N15" i="1"/>
  <c r="N14" i="1" s="1"/>
  <c r="G15" i="1"/>
  <c r="Q14" i="1"/>
  <c r="P14" i="1"/>
  <c r="P12" i="1" s="1"/>
  <c r="M14" i="1"/>
  <c r="L14" i="1"/>
  <c r="K14" i="1"/>
  <c r="F14" i="1"/>
  <c r="G14" i="1" s="1"/>
  <c r="E14" i="1"/>
  <c r="D14" i="1"/>
  <c r="T13" i="1"/>
  <c r="V13" i="1" s="1"/>
  <c r="S13" i="1"/>
  <c r="U13" i="1" s="1"/>
  <c r="R13" i="1"/>
  <c r="Q13" i="1"/>
  <c r="N13" i="1"/>
  <c r="N12" i="1" s="1"/>
  <c r="L13" i="1"/>
  <c r="L12" i="1" s="1"/>
  <c r="K13" i="1"/>
  <c r="G13" i="1"/>
  <c r="Q12" i="1"/>
  <c r="K12" i="1"/>
  <c r="I12" i="1"/>
  <c r="F12" i="1"/>
  <c r="D12" i="1"/>
  <c r="V17" i="1" l="1"/>
  <c r="V14" i="1" s="1"/>
  <c r="V12" i="1" s="1"/>
  <c r="T14" i="1"/>
  <c r="U15" i="1"/>
  <c r="U14" i="1" s="1"/>
  <c r="U12" i="1" s="1"/>
  <c r="S14" i="1"/>
  <c r="U47" i="1"/>
  <c r="T79" i="1"/>
  <c r="T90" i="1" s="1"/>
  <c r="V85" i="1"/>
  <c r="V79" i="1" s="1"/>
  <c r="V90" i="1" s="1"/>
  <c r="S57" i="1"/>
  <c r="S12" i="1"/>
  <c r="R14" i="1"/>
  <c r="R12" i="1" s="1"/>
  <c r="V46" i="1"/>
  <c r="U46" i="1" s="1"/>
  <c r="V56" i="1"/>
  <c r="V57" i="1" s="1"/>
  <c r="Q57" i="1"/>
  <c r="S63" i="1"/>
  <c r="Q91" i="1"/>
  <c r="T92" i="1"/>
  <c r="E93" i="1"/>
  <c r="R93" i="1"/>
  <c r="V94" i="1"/>
  <c r="V95" i="1" s="1"/>
  <c r="G95" i="1"/>
  <c r="T96" i="1"/>
  <c r="S97" i="1"/>
  <c r="T12" i="1"/>
  <c r="U55" i="1"/>
  <c r="U57" i="1" s="1"/>
  <c r="T63" i="1"/>
  <c r="U92" i="1"/>
  <c r="S94" i="1"/>
  <c r="Q95" i="1"/>
  <c r="G93" i="1"/>
  <c r="V63" i="1" l="1"/>
  <c r="V64" i="1" s="1"/>
  <c r="T64" i="1"/>
  <c r="V96" i="1"/>
  <c r="V97" i="1" s="1"/>
  <c r="T97" i="1"/>
  <c r="T91" i="1"/>
  <c r="T93" i="1"/>
  <c r="V92" i="1"/>
  <c r="S95" i="1"/>
  <c r="U94" i="1"/>
  <c r="U95" i="1" s="1"/>
  <c r="S91" i="1"/>
  <c r="U93" i="1"/>
  <c r="U63" i="1"/>
  <c r="U64" i="1" s="1"/>
  <c r="S64" i="1"/>
  <c r="V91" i="1" l="1"/>
  <c r="V93" i="1"/>
  <c r="U91" i="1"/>
</calcChain>
</file>

<file path=xl/comments1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comments2.xml><?xml version="1.0" encoding="utf-8"?>
<comments xmlns="http://schemas.openxmlformats.org/spreadsheetml/2006/main">
  <authors>
    <author>BogdanovaOA</author>
  </authors>
  <commentList>
    <comment ref="E96" authorId="0" shapeId="0">
      <text>
        <r>
          <rPr>
            <sz val="8"/>
            <color indexed="81"/>
            <rFont val="Tahoma"/>
            <family val="2"/>
            <charset val="204"/>
          </rPr>
          <t xml:space="preserve">за вычетом услуг ООО МПО,ООО ТБ, ООО Автотранссервис
</t>
        </r>
      </text>
    </comment>
  </commentList>
</comments>
</file>

<file path=xl/sharedStrings.xml><?xml version="1.0" encoding="utf-8"?>
<sst xmlns="http://schemas.openxmlformats.org/spreadsheetml/2006/main" count="743" uniqueCount="151">
  <si>
    <t>Приложение № 2 к постановлению</t>
  </si>
  <si>
    <t xml:space="preserve">            администрации г.п.Талинка</t>
  </si>
  <si>
    <t>от "18" марта 2024 г. № 81</t>
  </si>
  <si>
    <t xml:space="preserve">Основные показатели для разработки прогноза </t>
  </si>
  <si>
    <t xml:space="preserve">социально-экономического развития муниципального образования городское поселение Талинка </t>
  </si>
  <si>
    <t>за 2023 год</t>
  </si>
  <si>
    <t>№ п/п</t>
  </si>
  <si>
    <t>Наименование показателей</t>
  </si>
  <si>
    <t xml:space="preserve"> Ед.                        измер.</t>
  </si>
  <si>
    <t>2012г.                  отчет</t>
  </si>
  <si>
    <t>2013 г.                        отчет</t>
  </si>
  <si>
    <t>2014 г. отчет</t>
  </si>
  <si>
    <t>2015 г.      отчет</t>
  </si>
  <si>
    <t>2016 г.      отчет</t>
  </si>
  <si>
    <t>2017 г.      отчет</t>
  </si>
  <si>
    <t>2018 г. отчет</t>
  </si>
  <si>
    <t>2019 г. отчет</t>
  </si>
  <si>
    <t>2020 г. отчет</t>
  </si>
  <si>
    <t>2021 г. отчет</t>
  </si>
  <si>
    <t>2022 г. отчет</t>
  </si>
  <si>
    <t>2022 г. отчет (9 мес.)</t>
  </si>
  <si>
    <t xml:space="preserve">2023 г.  отчет   </t>
  </si>
  <si>
    <t xml:space="preserve">  2024г.- прогноз</t>
  </si>
  <si>
    <t xml:space="preserve">  2025 г.- прогноз</t>
  </si>
  <si>
    <t xml:space="preserve">  2026 г.- прогноз</t>
  </si>
  <si>
    <t>Консервативный (1-й вариант)</t>
  </si>
  <si>
    <t>Базовый (2-й вариант)</t>
  </si>
  <si>
    <t>I.</t>
  </si>
  <si>
    <t>Производство промышленной продукции</t>
  </si>
  <si>
    <t>1.</t>
  </si>
  <si>
    <t>Отгружено товаров собственного производства, выполнено работ и услуг собственными силами - всего</t>
  </si>
  <si>
    <t>тыс. руб.</t>
  </si>
  <si>
    <t>1.1.</t>
  </si>
  <si>
    <t>Добыча топливно-энергетических полезных ископаемых</t>
  </si>
  <si>
    <t>1.2.</t>
  </si>
  <si>
    <t>в том числе по видам деятельности и организациям - производителям промышленной продуции (МУП "УТС г.п. Талинка"+ООО "Талинское благоустройство")</t>
  </si>
  <si>
    <t>тепло</t>
  </si>
  <si>
    <t>холодная вода</t>
  </si>
  <si>
    <t>горячая вода</t>
  </si>
  <si>
    <t>1.3.</t>
  </si>
  <si>
    <t>ООО "Хлебозавод" хлебобулочные изделия</t>
  </si>
  <si>
    <t>1.4.</t>
  </si>
  <si>
    <t>ООО "Пермнефтеотдача", услуги ремонта</t>
  </si>
  <si>
    <t>1.5.</t>
  </si>
  <si>
    <t>ООО "МинЭл", передача электроэнергии</t>
  </si>
  <si>
    <t>1.6.</t>
  </si>
  <si>
    <t>ООО "Автотранссервис", услуги ремонта</t>
  </si>
  <si>
    <t>1.7.</t>
  </si>
  <si>
    <t>ООО "ТМК Трубный Сервис"</t>
  </si>
  <si>
    <t>ООО "Римера-Сервис_Нягань"</t>
  </si>
  <si>
    <t>ООО "Тюменская геофизическая компания"</t>
  </si>
  <si>
    <t>2.</t>
  </si>
  <si>
    <t xml:space="preserve">Произведено промышленной продукции в натуральном выражении (МУП "УТС г.п.Талинка"+ООО "Талинское благоустройство"):                    </t>
  </si>
  <si>
    <t>в соотв.ед.</t>
  </si>
  <si>
    <t>тепловая энергия</t>
  </si>
  <si>
    <t>тыс. Гкал</t>
  </si>
  <si>
    <t>вода</t>
  </si>
  <si>
    <t>тыс.м куб.</t>
  </si>
  <si>
    <t>3.</t>
  </si>
  <si>
    <t xml:space="preserve"> ООО "Хлебозавод", хлебобулочные изделия</t>
  </si>
  <si>
    <t xml:space="preserve"> тонн</t>
  </si>
  <si>
    <t>4.</t>
  </si>
  <si>
    <t>ремонтов</t>
  </si>
  <si>
    <t>5.</t>
  </si>
  <si>
    <t>тыс.кВт*ч</t>
  </si>
  <si>
    <t>6.</t>
  </si>
  <si>
    <t>7.</t>
  </si>
  <si>
    <t>8.</t>
  </si>
  <si>
    <t>тыс. ед.</t>
  </si>
  <si>
    <t>II.</t>
  </si>
  <si>
    <t>Производство агропромышленной продукции сельхозпредприятиями</t>
  </si>
  <si>
    <t xml:space="preserve">Произведено сельскохозяйственной продукции в натуральном выражении:   в том числе по организациям - производителям продукции                 </t>
  </si>
  <si>
    <t>Мясо</t>
  </si>
  <si>
    <t>тонн</t>
  </si>
  <si>
    <t>молоко</t>
  </si>
  <si>
    <t>Яйцо</t>
  </si>
  <si>
    <t>млн.штук</t>
  </si>
  <si>
    <t>ООО "Хоз-во Талинское", мясо</t>
  </si>
  <si>
    <t>КФХ "Ревазов", мясо</t>
  </si>
  <si>
    <t>КФХ "Милосердов", мясо</t>
  </si>
  <si>
    <t>КФХ "ИП Кучкаров", мясо</t>
  </si>
  <si>
    <t>КФХ "Иванова М.Н."</t>
  </si>
  <si>
    <t>мясо</t>
  </si>
  <si>
    <t>яйцо</t>
  </si>
  <si>
    <t>Реализовано сельскохозяйственной продукции</t>
  </si>
  <si>
    <t>продукция животноводства</t>
  </si>
  <si>
    <t>хлебобулочные изделия</t>
  </si>
  <si>
    <t>III.</t>
  </si>
  <si>
    <t>Демографические показатели</t>
  </si>
  <si>
    <t>Численность постоянного населения (среднегодовая)</t>
  </si>
  <si>
    <t>тыс. чел.</t>
  </si>
  <si>
    <t>Число прибывших</t>
  </si>
  <si>
    <t>Число убывших</t>
  </si>
  <si>
    <t>Миграционный прирост</t>
  </si>
  <si>
    <t>Естественный прирост</t>
  </si>
  <si>
    <t>IV.</t>
  </si>
  <si>
    <t>Труд и занятость</t>
  </si>
  <si>
    <t>Среднесписочная численность работников организаций</t>
  </si>
  <si>
    <t>Численность безработных, зарегистрированных в службах занятости</t>
  </si>
  <si>
    <t>Денежные доходы населения</t>
  </si>
  <si>
    <t>млн.рублей</t>
  </si>
  <si>
    <t>Фонд заработной платы работников организаций</t>
  </si>
  <si>
    <t>Номинальная среднемесячная заработная плата</t>
  </si>
  <si>
    <t>тыс.рублей</t>
  </si>
  <si>
    <t>V.</t>
  </si>
  <si>
    <t>Бюджет муниципального образования</t>
  </si>
  <si>
    <t>Доходы бюджета муниципального образования</t>
  </si>
  <si>
    <t>млн руб.</t>
  </si>
  <si>
    <t>Налоговые и неналоговые доходы, всего</t>
  </si>
  <si>
    <t>1.1.1.</t>
  </si>
  <si>
    <t>Налоговые доходы всего, в том числе:</t>
  </si>
  <si>
    <t>налог на доходы физических лиц</t>
  </si>
  <si>
    <t>акцизы</t>
  </si>
  <si>
    <t>налог на имущество физических лиц</t>
  </si>
  <si>
    <t>транспортный налог</t>
  </si>
  <si>
    <t>земельный налог</t>
  </si>
  <si>
    <t>1.1.2.</t>
  </si>
  <si>
    <t>Неналоговые доходы всего:</t>
  </si>
  <si>
    <t>Безвозмездные поступления всего, в том числе</t>
  </si>
  <si>
    <t>субсидии (иные межбюджетные)</t>
  </si>
  <si>
    <t xml:space="preserve">субвенции </t>
  </si>
  <si>
    <t xml:space="preserve">дотации </t>
  </si>
  <si>
    <t>Расходы  бюджета муниципального образования всего, в том числе по направлениям: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</si>
  <si>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</si>
  <si>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</si>
  <si>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</si>
  <si>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</si>
  <si>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</si>
  <si>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</si>
  <si>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здравоохранение</t>
  </si>
  <si>
    <t>культура, кинематография</t>
  </si>
  <si>
    <t>социальная политика</t>
  </si>
  <si>
    <t>физическая культура и спорт</t>
  </si>
  <si>
    <t>Дефицит(-), профицит(+) бюджета муниципального образования</t>
  </si>
  <si>
    <t>VI.</t>
  </si>
  <si>
    <t>Рынок товаров и услуг</t>
  </si>
  <si>
    <t>Оборот розничной торговли</t>
  </si>
  <si>
    <t>тыс. руб. в ценах соответствующих лет</t>
  </si>
  <si>
    <t>в % к предыдущему году в сопоставимых ценах</t>
  </si>
  <si>
    <t>%</t>
  </si>
  <si>
    <t>Оборот общественного питания</t>
  </si>
  <si>
    <t>Объем платных услуг населению</t>
  </si>
  <si>
    <t>Исполнители: Пронина Т.Н., тел. 8 (34672) 26-101, доб.*5</t>
  </si>
  <si>
    <t>от "07" августа 2023 г. № 196</t>
  </si>
  <si>
    <t xml:space="preserve">на 2024 год и на период до 2026 года. </t>
  </si>
  <si>
    <t>2023г.      оценка</t>
  </si>
  <si>
    <t>2023 г. отчет</t>
  </si>
  <si>
    <t>2024г.      оценка</t>
  </si>
  <si>
    <t xml:space="preserve">  2025г.- прогноз</t>
  </si>
  <si>
    <t xml:space="preserve">  2027 г.- прогноз</t>
  </si>
  <si>
    <t>от "07" августа 2024 г. № 209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</si>
</sst>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"/>
    <numFmt numFmtId="165" formatCode="#,##0.0"/>
    <numFmt numFmtId="166" formatCode="#,##0.000"/>
    <numFmt numFmtId="167" formatCode="#,##0.0000"/>
  </numFmts>
  <fonts count="2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sz val="14"/>
      <name val="Times New Roman"/>
      <family val="1"/>
      <charset val="204"/>
    </font>
    <font>
      <sz val="8"/>
      <color indexed="81"/>
      <name val="Tahoma"/>
      <family val="2"/>
      <charset val="204"/>
    </font>
    <font>
      <sz val="12"/>
      <color rgb="FF0000FF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2"/>
      <color rgb="FF00FF00"/>
      <name val="Times New Roman"/>
      <family val="1"/>
      <charset val="204"/>
    </font>
    <font>
      <i/>
      <sz val="12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3" fontId="1" fillId="0" borderId="0" xfId="0" applyNumberFormat="1" applyFont="1" applyAlignment="1">
      <alignment vertical="center" wrapText="1"/>
    </xf>
    <xf numFmtId="3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164" fontId="2" fillId="0" borderId="10" xfId="0" applyNumberFormat="1" applyFont="1" applyFill="1" applyBorder="1" applyAlignment="1" applyProtection="1">
      <alignment horizontal="center" vertical="center" wrapText="1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10" xfId="0" quotePrefix="1" applyNumberFormat="1" applyFont="1" applyFill="1" applyBorder="1" applyAlignment="1">
      <alignment horizontal="center" vertical="center" wrapText="1"/>
    </xf>
    <xf numFmtId="3" fontId="10" fillId="0" borderId="10" xfId="0" quotePrefix="1" applyNumberFormat="1" applyFont="1" applyFill="1" applyBorder="1" applyAlignment="1">
      <alignment horizontal="center" vertical="center" wrapText="1"/>
    </xf>
    <xf numFmtId="3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vertical="center" wrapText="1"/>
    </xf>
    <xf numFmtId="3" fontId="2" fillId="0" borderId="14" xfId="0" applyNumberFormat="1" applyFont="1" applyFill="1" applyBorder="1" applyAlignment="1">
      <alignment vertical="center" wrapText="1"/>
    </xf>
    <xf numFmtId="0" fontId="8" fillId="0" borderId="0" xfId="0" applyFont="1" applyFill="1"/>
    <xf numFmtId="165" fontId="2" fillId="0" borderId="13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vertical="center" wrapText="1"/>
    </xf>
    <xf numFmtId="3" fontId="11" fillId="0" borderId="13" xfId="0" applyNumberFormat="1" applyFont="1" applyFill="1" applyBorder="1" applyAlignment="1">
      <alignment vertical="center" wrapText="1"/>
    </xf>
    <xf numFmtId="4" fontId="2" fillId="0" borderId="13" xfId="0" applyNumberFormat="1" applyFont="1" applyFill="1" applyBorder="1" applyAlignment="1">
      <alignment vertical="center" wrapText="1"/>
    </xf>
    <xf numFmtId="3" fontId="2" fillId="3" borderId="13" xfId="0" applyNumberFormat="1" applyFont="1" applyFill="1" applyBorder="1" applyAlignment="1">
      <alignment vertical="center" wrapText="1"/>
    </xf>
    <xf numFmtId="3" fontId="2" fillId="3" borderId="14" xfId="0" applyNumberFormat="1" applyFont="1" applyFill="1" applyBorder="1" applyAlignment="1">
      <alignment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vertical="center" wrapText="1"/>
    </xf>
    <xf numFmtId="3" fontId="10" fillId="0" borderId="13" xfId="0" applyNumberFormat="1" applyFont="1" applyFill="1" applyBorder="1" applyAlignment="1">
      <alignment vertical="center" wrapText="1"/>
    </xf>
    <xf numFmtId="165" fontId="2" fillId="3" borderId="13" xfId="0" applyNumberFormat="1" applyFont="1" applyFill="1" applyBorder="1" applyAlignment="1">
      <alignment vertical="center" wrapText="1"/>
    </xf>
    <xf numFmtId="165" fontId="2" fillId="0" borderId="14" xfId="0" applyNumberFormat="1" applyFont="1" applyFill="1" applyBorder="1" applyAlignment="1">
      <alignment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165" fontId="11" fillId="0" borderId="13" xfId="0" applyNumberFormat="1" applyFont="1" applyFill="1" applyBorder="1" applyAlignment="1">
      <alignment vertical="center" wrapText="1"/>
    </xf>
    <xf numFmtId="165" fontId="11" fillId="3" borderId="13" xfId="0" applyNumberFormat="1" applyFont="1" applyFill="1" applyBorder="1" applyAlignment="1">
      <alignment vertical="center" wrapText="1"/>
    </xf>
    <xf numFmtId="165" fontId="11" fillId="0" borderId="14" xfId="0" applyNumberFormat="1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vertical="center" wrapText="1"/>
    </xf>
    <xf numFmtId="166" fontId="2" fillId="0" borderId="13" xfId="0" applyNumberFormat="1" applyFont="1" applyFill="1" applyBorder="1" applyAlignment="1">
      <alignment vertical="center" wrapText="1"/>
    </xf>
    <xf numFmtId="167" fontId="2" fillId="0" borderId="13" xfId="0" applyNumberFormat="1" applyFont="1" applyFill="1" applyBorder="1" applyAlignment="1">
      <alignment vertical="center" wrapText="1"/>
    </xf>
    <xf numFmtId="166" fontId="11" fillId="0" borderId="13" xfId="0" applyNumberFormat="1" applyFont="1" applyFill="1" applyBorder="1" applyAlignment="1">
      <alignment vertical="center" wrapText="1"/>
    </xf>
    <xf numFmtId="166" fontId="11" fillId="0" borderId="14" xfId="0" applyNumberFormat="1" applyFont="1" applyFill="1" applyBorder="1" applyAlignment="1">
      <alignment vertical="center" wrapText="1"/>
    </xf>
    <xf numFmtId="0" fontId="11" fillId="0" borderId="13" xfId="0" applyFont="1" applyFill="1" applyBorder="1" applyAlignment="1">
      <alignment horizontal="center" vertical="center" wrapText="1"/>
    </xf>
    <xf numFmtId="4" fontId="11" fillId="0" borderId="13" xfId="0" applyNumberFormat="1" applyFont="1" applyFill="1" applyBorder="1" applyAlignment="1">
      <alignment vertical="center" wrapText="1"/>
    </xf>
    <xf numFmtId="167" fontId="11" fillId="0" borderId="13" xfId="0" applyNumberFormat="1" applyFont="1" applyFill="1" applyBorder="1" applyAlignment="1">
      <alignment vertical="center" wrapText="1"/>
    </xf>
    <xf numFmtId="4" fontId="11" fillId="0" borderId="14" xfId="0" applyNumberFormat="1" applyFont="1" applyFill="1" applyBorder="1" applyAlignment="1">
      <alignment vertical="center" wrapText="1"/>
    </xf>
    <xf numFmtId="4" fontId="11" fillId="3" borderId="13" xfId="0" applyNumberFormat="1" applyFont="1" applyFill="1" applyBorder="1" applyAlignment="1">
      <alignment vertical="center" wrapText="1"/>
    </xf>
    <xf numFmtId="0" fontId="9" fillId="0" borderId="13" xfId="0" applyFont="1" applyFill="1" applyBorder="1" applyAlignment="1">
      <alignment horizontal="left" vertical="center" wrapText="1"/>
    </xf>
    <xf numFmtId="166" fontId="9" fillId="0" borderId="13" xfId="0" applyNumberFormat="1" applyFont="1" applyFill="1" applyBorder="1" applyAlignment="1">
      <alignment vertical="center" wrapText="1"/>
    </xf>
    <xf numFmtId="166" fontId="12" fillId="0" borderId="13" xfId="0" applyNumberFormat="1" applyFont="1" applyFill="1" applyBorder="1" applyAlignment="1">
      <alignment vertical="center" wrapText="1"/>
    </xf>
    <xf numFmtId="166" fontId="9" fillId="0" borderId="14" xfId="0" applyNumberFormat="1" applyFont="1" applyFill="1" applyBorder="1" applyAlignment="1">
      <alignment vertical="center" wrapText="1"/>
    </xf>
    <xf numFmtId="0" fontId="2" fillId="0" borderId="13" xfId="0" applyFont="1" applyFill="1" applyBorder="1" applyAlignment="1">
      <alignment horizontal="justify" vertical="center" wrapText="1"/>
    </xf>
    <xf numFmtId="166" fontId="2" fillId="4" borderId="13" xfId="0" applyNumberFormat="1" applyFont="1" applyFill="1" applyBorder="1" applyAlignment="1">
      <alignment vertical="center" wrapText="1"/>
    </xf>
    <xf numFmtId="166" fontId="2" fillId="0" borderId="14" xfId="0" applyNumberFormat="1" applyFont="1" applyFill="1" applyBorder="1" applyAlignment="1">
      <alignment vertical="center" wrapText="1"/>
    </xf>
    <xf numFmtId="166" fontId="2" fillId="3" borderId="13" xfId="0" applyNumberFormat="1" applyFont="1" applyFill="1" applyBorder="1" applyAlignment="1">
      <alignment vertical="center" wrapText="1"/>
    </xf>
    <xf numFmtId="166" fontId="2" fillId="3" borderId="14" xfId="0" applyNumberFormat="1" applyFont="1" applyFill="1" applyBorder="1" applyAlignment="1">
      <alignment vertical="center" wrapText="1"/>
    </xf>
    <xf numFmtId="167" fontId="9" fillId="0" borderId="13" xfId="0" applyNumberFormat="1" applyFont="1" applyFill="1" applyBorder="1" applyAlignment="1">
      <alignment vertical="center" wrapText="1"/>
    </xf>
    <xf numFmtId="167" fontId="9" fillId="0" borderId="14" xfId="0" applyNumberFormat="1" applyFont="1" applyFill="1" applyBorder="1" applyAlignment="1">
      <alignment vertical="center" wrapText="1"/>
    </xf>
    <xf numFmtId="0" fontId="9" fillId="3" borderId="13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/>
    </xf>
    <xf numFmtId="166" fontId="10" fillId="0" borderId="13" xfId="0" applyNumberFormat="1" applyFont="1" applyFill="1" applyBorder="1" applyAlignment="1">
      <alignment vertical="center" wrapText="1"/>
    </xf>
    <xf numFmtId="0" fontId="2" fillId="5" borderId="12" xfId="0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/>
    </xf>
    <xf numFmtId="166" fontId="2" fillId="5" borderId="13" xfId="0" applyNumberFormat="1" applyFont="1" applyFill="1" applyBorder="1" applyAlignment="1">
      <alignment vertical="center" wrapText="1"/>
    </xf>
    <xf numFmtId="166" fontId="2" fillId="5" borderId="14" xfId="0" applyNumberFormat="1" applyFont="1" applyFill="1" applyBorder="1" applyAlignment="1">
      <alignment vertical="center" wrapText="1"/>
    </xf>
    <xf numFmtId="0" fontId="8" fillId="5" borderId="0" xfId="0" applyFont="1" applyFill="1"/>
    <xf numFmtId="0" fontId="2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left" vertical="center" indent="1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left" vertical="center" wrapText="1" indent="1"/>
    </xf>
    <xf numFmtId="0" fontId="2" fillId="0" borderId="16" xfId="0" applyFont="1" applyFill="1" applyBorder="1" applyAlignment="1">
      <alignment horizontal="center" vertical="center"/>
    </xf>
    <xf numFmtId="3" fontId="9" fillId="0" borderId="13" xfId="0" applyNumberFormat="1" applyFont="1" applyFill="1" applyBorder="1" applyAlignment="1">
      <alignment vertical="center" wrapText="1"/>
    </xf>
    <xf numFmtId="165" fontId="9" fillId="0" borderId="13" xfId="0" applyNumberFormat="1" applyFont="1" applyFill="1" applyBorder="1" applyAlignment="1">
      <alignment vertical="center" wrapText="1"/>
    </xf>
    <xf numFmtId="3" fontId="9" fillId="3" borderId="13" xfId="0" applyNumberFormat="1" applyFont="1" applyFill="1" applyBorder="1" applyAlignment="1">
      <alignment vertical="center" wrapText="1"/>
    </xf>
    <xf numFmtId="3" fontId="9" fillId="0" borderId="14" xfId="0" applyNumberFormat="1" applyFont="1" applyFill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justify" vertical="center" wrapText="1"/>
    </xf>
    <xf numFmtId="0" fontId="2" fillId="0" borderId="6" xfId="0" applyFont="1" applyFill="1" applyBorder="1" applyAlignment="1">
      <alignment horizontal="center" vertical="center" wrapText="1"/>
    </xf>
    <xf numFmtId="3" fontId="2" fillId="0" borderId="6" xfId="0" applyNumberFormat="1" applyFont="1" applyFill="1" applyBorder="1" applyAlignment="1">
      <alignment vertical="center" wrapText="1"/>
    </xf>
    <xf numFmtId="165" fontId="2" fillId="0" borderId="6" xfId="0" applyNumberFormat="1" applyFont="1" applyFill="1" applyBorder="1" applyAlignment="1">
      <alignment vertical="center" wrapText="1"/>
    </xf>
    <xf numFmtId="165" fontId="2" fillId="0" borderId="8" xfId="0" applyNumberFormat="1" applyFont="1" applyFill="1" applyBorder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3" fontId="13" fillId="0" borderId="0" xfId="0" applyNumberFormat="1" applyFont="1" applyAlignment="1">
      <alignment vertical="center" wrapText="1"/>
    </xf>
    <xf numFmtId="3" fontId="13" fillId="0" borderId="0" xfId="0" applyNumberFormat="1" applyFont="1" applyFill="1" applyAlignment="1">
      <alignment vertical="center" wrapText="1"/>
    </xf>
    <xf numFmtId="3" fontId="2" fillId="0" borderId="0" xfId="0" applyNumberFormat="1" applyFont="1" applyFill="1" applyAlignment="1">
      <alignment vertical="center" wrapText="1"/>
    </xf>
    <xf numFmtId="3" fontId="10" fillId="0" borderId="10" xfId="0" applyNumberFormat="1" applyFont="1" applyFill="1" applyBorder="1" applyAlignment="1">
      <alignment horizontal="center" vertical="center" wrapText="1"/>
    </xf>
    <xf numFmtId="3" fontId="10" fillId="0" borderId="11" xfId="0" applyNumberFormat="1" applyFont="1" applyFill="1" applyBorder="1" applyAlignment="1">
      <alignment horizontal="center" vertical="center" wrapText="1"/>
    </xf>
    <xf numFmtId="3" fontId="16" fillId="0" borderId="13" xfId="0" applyNumberFormat="1" applyFont="1" applyFill="1" applyBorder="1" applyAlignment="1">
      <alignment vertical="center" wrapText="1"/>
    </xf>
    <xf numFmtId="3" fontId="10" fillId="0" borderId="14" xfId="0" applyNumberFormat="1" applyFont="1" applyFill="1" applyBorder="1" applyAlignment="1">
      <alignment vertical="center" wrapText="1"/>
    </xf>
    <xf numFmtId="4" fontId="17" fillId="0" borderId="13" xfId="0" applyNumberFormat="1" applyFont="1" applyFill="1" applyBorder="1" applyAlignment="1">
      <alignment vertical="center" wrapText="1"/>
    </xf>
    <xf numFmtId="4" fontId="17" fillId="0" borderId="14" xfId="0" applyNumberFormat="1" applyFont="1" applyFill="1" applyBorder="1" applyAlignment="1">
      <alignment vertical="center" wrapText="1"/>
    </xf>
    <xf numFmtId="166" fontId="12" fillId="0" borderId="14" xfId="0" applyNumberFormat="1" applyFont="1" applyFill="1" applyBorder="1" applyAlignment="1">
      <alignment vertical="center" wrapText="1"/>
    </xf>
    <xf numFmtId="167" fontId="12" fillId="0" borderId="13" xfId="0" applyNumberFormat="1" applyFont="1" applyFill="1" applyBorder="1" applyAlignment="1">
      <alignment vertical="center" wrapText="1"/>
    </xf>
    <xf numFmtId="167" fontId="12" fillId="0" borderId="14" xfId="0" applyNumberFormat="1" applyFont="1" applyFill="1" applyBorder="1" applyAlignment="1">
      <alignment vertical="center" wrapText="1"/>
    </xf>
    <xf numFmtId="166" fontId="10" fillId="0" borderId="14" xfId="0" applyNumberFormat="1" applyFont="1" applyFill="1" applyBorder="1" applyAlignment="1">
      <alignment vertical="center" wrapText="1"/>
    </xf>
    <xf numFmtId="166" fontId="2" fillId="6" borderId="13" xfId="0" applyNumberFormat="1" applyFont="1" applyFill="1" applyBorder="1" applyAlignment="1">
      <alignment vertical="center" wrapText="1"/>
    </xf>
    <xf numFmtId="166" fontId="16" fillId="3" borderId="13" xfId="0" applyNumberFormat="1" applyFont="1" applyFill="1" applyBorder="1" applyAlignment="1">
      <alignment vertical="center" wrapText="1"/>
    </xf>
    <xf numFmtId="166" fontId="16" fillId="3" borderId="14" xfId="0" applyNumberFormat="1" applyFont="1" applyFill="1" applyBorder="1" applyAlignment="1">
      <alignment vertical="center" wrapText="1"/>
    </xf>
    <xf numFmtId="167" fontId="10" fillId="0" borderId="13" xfId="0" applyNumberFormat="1" applyFont="1" applyFill="1" applyBorder="1" applyAlignment="1">
      <alignment vertical="center" wrapText="1"/>
    </xf>
    <xf numFmtId="166" fontId="10" fillId="3" borderId="13" xfId="0" applyNumberFormat="1" applyFont="1" applyFill="1" applyBorder="1" applyAlignment="1">
      <alignment vertical="center" wrapText="1"/>
    </xf>
    <xf numFmtId="166" fontId="17" fillId="0" borderId="13" xfId="0" applyNumberFormat="1" applyFont="1" applyFill="1" applyBorder="1" applyAlignment="1">
      <alignment vertical="center" wrapText="1"/>
    </xf>
    <xf numFmtId="166" fontId="17" fillId="0" borderId="14" xfId="0" applyNumberFormat="1" applyFont="1" applyFill="1" applyBorder="1" applyAlignment="1">
      <alignment vertical="center" wrapText="1"/>
    </xf>
    <xf numFmtId="166" fontId="18" fillId="3" borderId="13" xfId="0" applyNumberFormat="1" applyFont="1" applyFill="1" applyBorder="1" applyAlignment="1">
      <alignment vertical="center" wrapText="1"/>
    </xf>
    <xf numFmtId="0" fontId="11" fillId="0" borderId="12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166" fontId="11" fillId="3" borderId="13" xfId="0" applyNumberFormat="1" applyFont="1" applyFill="1" applyBorder="1" applyAlignment="1">
      <alignment vertical="center" wrapText="1"/>
    </xf>
    <xf numFmtId="166" fontId="19" fillId="3" borderId="13" xfId="0" applyNumberFormat="1" applyFont="1" applyFill="1" applyBorder="1" applyAlignment="1">
      <alignment vertical="center" wrapText="1"/>
    </xf>
    <xf numFmtId="166" fontId="19" fillId="3" borderId="14" xfId="0" applyNumberFormat="1" applyFont="1" applyFill="1" applyBorder="1" applyAlignment="1">
      <alignment vertical="center" wrapText="1"/>
    </xf>
    <xf numFmtId="166" fontId="18" fillId="3" borderId="14" xfId="0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64" fontId="6" fillId="2" borderId="2" xfId="0" applyNumberFormat="1" applyFont="1" applyFill="1" applyBorder="1" applyAlignment="1" applyProtection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 wrapText="1"/>
    </xf>
    <xf numFmtId="164" fontId="5" fillId="0" borderId="0" xfId="0" applyNumberFormat="1" applyFont="1" applyFill="1" applyAlignment="1" applyProtection="1">
      <alignment horizontal="center" vertical="center" wrapText="1"/>
    </xf>
    <xf numFmtId="0" fontId="6" fillId="0" borderId="2" xfId="0" quotePrefix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00FF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Y102"/>
  <sheetViews>
    <sheetView zoomScale="75" workbookViewId="0">
      <pane ySplit="12" topLeftCell="A94" activePane="bottomLeft" state="frozen"/>
      <selection pane="bottomLeft" activeCell="A9" sqref="A9:V97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4" width="11.33203125" style="2" customWidth="1"/>
    <col min="15" max="15" width="11.33203125" style="2" hidden="1" customWidth="1" outlineLevel="1"/>
    <col min="16" max="16" width="11.33203125" style="2" customWidth="1" collapsed="1"/>
    <col min="17" max="22" width="13" style="2" customWidth="1"/>
  </cols>
  <sheetData>
    <row r="1" spans="1:25" ht="18.75" customHeight="1" x14ac:dyDescent="0.3">
      <c r="D1" s="3"/>
      <c r="E1" s="4"/>
      <c r="F1" s="4"/>
      <c r="Q1" s="135" t="s">
        <v>0</v>
      </c>
      <c r="R1" s="135"/>
      <c r="S1" s="135"/>
      <c r="T1" s="135"/>
      <c r="U1" s="135"/>
      <c r="V1" s="135"/>
    </row>
    <row r="2" spans="1:25" ht="18.75" customHeight="1" x14ac:dyDescent="0.3">
      <c r="D2" s="3"/>
      <c r="E2" s="4"/>
      <c r="F2" s="4"/>
      <c r="Q2" s="136" t="s">
        <v>1</v>
      </c>
      <c r="R2" s="136"/>
      <c r="S2" s="136"/>
      <c r="T2" s="136"/>
      <c r="U2" s="136"/>
      <c r="V2" s="136"/>
    </row>
    <row r="3" spans="1:25" s="8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7"/>
      <c r="Q3" s="136" t="s">
        <v>2</v>
      </c>
      <c r="R3" s="136"/>
      <c r="S3" s="136"/>
      <c r="T3" s="136"/>
      <c r="U3" s="136"/>
      <c r="V3" s="136"/>
    </row>
    <row r="4" spans="1:25" s="8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9"/>
      <c r="S4" s="9"/>
      <c r="T4" s="9"/>
      <c r="U4" s="9"/>
      <c r="V4" s="9"/>
    </row>
    <row r="5" spans="1:25" s="8" customFormat="1" ht="18.75" customHeight="1" x14ac:dyDescent="0.25">
      <c r="A5" s="137" t="s">
        <v>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</row>
    <row r="6" spans="1:25" s="8" customFormat="1" ht="18.75" customHeight="1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  <c r="V6" s="137"/>
    </row>
    <row r="7" spans="1:25" s="8" customFormat="1" ht="18.75" customHeight="1" x14ac:dyDescent="0.25">
      <c r="A7" s="137" t="s">
        <v>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5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</row>
    <row r="9" spans="1:25" s="8" customFormat="1" ht="26.25" customHeight="1" x14ac:dyDescent="0.25">
      <c r="A9" s="127" t="s">
        <v>6</v>
      </c>
      <c r="B9" s="129" t="s">
        <v>7</v>
      </c>
      <c r="C9" s="131" t="s">
        <v>8</v>
      </c>
      <c r="D9" s="129" t="s">
        <v>9</v>
      </c>
      <c r="E9" s="129" t="s">
        <v>10</v>
      </c>
      <c r="F9" s="125" t="s">
        <v>11</v>
      </c>
      <c r="G9" s="125" t="s">
        <v>12</v>
      </c>
      <c r="H9" s="125" t="s">
        <v>13</v>
      </c>
      <c r="I9" s="125" t="s">
        <v>14</v>
      </c>
      <c r="J9" s="125" t="s">
        <v>15</v>
      </c>
      <c r="K9" s="125" t="s">
        <v>16</v>
      </c>
      <c r="L9" s="125" t="s">
        <v>17</v>
      </c>
      <c r="M9" s="125" t="s">
        <v>18</v>
      </c>
      <c r="N9" s="125" t="s">
        <v>19</v>
      </c>
      <c r="O9" s="125" t="s">
        <v>20</v>
      </c>
      <c r="P9" s="125" t="s">
        <v>21</v>
      </c>
      <c r="Q9" s="138" t="s">
        <v>22</v>
      </c>
      <c r="R9" s="140"/>
      <c r="S9" s="138" t="s">
        <v>23</v>
      </c>
      <c r="T9" s="140"/>
      <c r="U9" s="138" t="s">
        <v>24</v>
      </c>
      <c r="V9" s="139"/>
    </row>
    <row r="10" spans="1:25" s="14" customFormat="1" ht="47.4" thickBot="1" x14ac:dyDescent="0.3">
      <c r="A10" s="128"/>
      <c r="B10" s="130"/>
      <c r="C10" s="132"/>
      <c r="D10" s="133"/>
      <c r="E10" s="133"/>
      <c r="F10" s="134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1" t="s">
        <v>25</v>
      </c>
      <c r="R10" s="12" t="s">
        <v>26</v>
      </c>
      <c r="S10" s="11" t="s">
        <v>25</v>
      </c>
      <c r="T10" s="12" t="s">
        <v>26</v>
      </c>
      <c r="U10" s="11" t="s">
        <v>25</v>
      </c>
      <c r="V10" s="13" t="s">
        <v>26</v>
      </c>
      <c r="Y10" s="14">
        <v>23</v>
      </c>
    </row>
    <row r="11" spans="1:25" s="14" customFormat="1" ht="15.6" x14ac:dyDescent="0.25">
      <c r="A11" s="15" t="s">
        <v>27</v>
      </c>
      <c r="B11" s="16" t="s">
        <v>28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19"/>
      <c r="P11" s="20"/>
      <c r="Q11" s="19"/>
      <c r="R11" s="18"/>
      <c r="S11" s="19"/>
      <c r="T11" s="18"/>
      <c r="U11" s="19"/>
      <c r="V11" s="21"/>
    </row>
    <row r="12" spans="1:25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 t="e">
        <f>D14+D18+D19+D20+D21+#REF!</f>
        <v>#REF!</v>
      </c>
      <c r="E12" s="25">
        <v>1179481</v>
      </c>
      <c r="F12" s="25">
        <f>806483/9*12</f>
        <v>1075310.6666666665</v>
      </c>
      <c r="G12" s="25">
        <v>2954984</v>
      </c>
      <c r="H12" s="25">
        <v>3035894</v>
      </c>
      <c r="I12" s="25" t="e">
        <f>I13+I14+I19+I20+I21+I22+#REF!</f>
        <v>#REF!</v>
      </c>
      <c r="J12" s="25" t="e">
        <f>J13+J14+J18+J19+J20+J21+J22+#REF!+J23+J24</f>
        <v>#REF!</v>
      </c>
      <c r="K12" s="25" t="e">
        <f>K13+K14+K18+K19+K20+K21+K22+#REF!+K23+K24</f>
        <v>#REF!</v>
      </c>
      <c r="L12" s="25" t="e">
        <f>L13+L14+L18+L19+L20+L21+L22+#REF!+L23+L24</f>
        <v>#REF!</v>
      </c>
      <c r="M12" s="25">
        <v>3077000</v>
      </c>
      <c r="N12" s="25">
        <f t="shared" ref="N12:V12" si="0">N13+N14+N18+N19+N20+N21+N22+N23+N24</f>
        <v>5282342.6900000004</v>
      </c>
      <c r="O12" s="25">
        <v>2289091.5</v>
      </c>
      <c r="P12" s="25">
        <f t="shared" si="0"/>
        <v>3685987</v>
      </c>
      <c r="Q12" s="25">
        <f t="shared" si="0"/>
        <v>3741835.4868999999</v>
      </c>
      <c r="R12" s="25">
        <f t="shared" si="0"/>
        <v>3883954.9180000001</v>
      </c>
      <c r="S12" s="25">
        <f t="shared" si="0"/>
        <v>3797182.5604152996</v>
      </c>
      <c r="T12" s="25">
        <f t="shared" si="0"/>
        <v>4023707.5696719997</v>
      </c>
      <c r="U12" s="25">
        <f t="shared" si="0"/>
        <v>3954352.5543858157</v>
      </c>
      <c r="V12" s="26">
        <f t="shared" si="0"/>
        <v>4134556.7593937563</v>
      </c>
    </row>
    <row r="13" spans="1:25" s="27" customFormat="1" ht="15.6" x14ac:dyDescent="0.25">
      <c r="A13" s="22" t="s">
        <v>32</v>
      </c>
      <c r="B13" s="23" t="s">
        <v>33</v>
      </c>
      <c r="C13" s="24" t="s">
        <v>31</v>
      </c>
      <c r="D13" s="25">
        <v>1714082</v>
      </c>
      <c r="E13" s="28">
        <v>1714928.8</v>
      </c>
      <c r="F13" s="28"/>
      <c r="G13" s="25">
        <f>E13*0.98</f>
        <v>1680630.2239999999</v>
      </c>
      <c r="H13" s="25">
        <v>1769703.6258719999</v>
      </c>
      <c r="I13" s="25">
        <v>1185192</v>
      </c>
      <c r="J13" s="25">
        <v>1782799</v>
      </c>
      <c r="K13" s="25">
        <f>I13*1.005</f>
        <v>1191117.96</v>
      </c>
      <c r="L13" s="25">
        <f>J13*1.005</f>
        <v>1791712.9949999999</v>
      </c>
      <c r="M13" s="25">
        <v>1179200</v>
      </c>
      <c r="N13" s="25">
        <f>M13*100.5/100/12*12</f>
        <v>1185096</v>
      </c>
      <c r="O13" s="25">
        <v>888822</v>
      </c>
      <c r="P13" s="25">
        <v>1191021</v>
      </c>
      <c r="Q13" s="25">
        <f>P13*103.89%</f>
        <v>1237351.7168999999</v>
      </c>
      <c r="R13" s="25">
        <f>P13*104.3%</f>
        <v>1242234.9029999999</v>
      </c>
      <c r="S13" s="25">
        <f>Q13*103.7%</f>
        <v>1283133.7304252998</v>
      </c>
      <c r="T13" s="25">
        <f>R13*104.4%</f>
        <v>1296893.2387319999</v>
      </c>
      <c r="U13" s="25">
        <f>S13*103.7%</f>
        <v>1330609.6784510359</v>
      </c>
      <c r="V13" s="26">
        <f>T13*104.3%</f>
        <v>1352659.6479974757</v>
      </c>
    </row>
    <row r="14" spans="1:25" s="27" customFormat="1" ht="46.8" x14ac:dyDescent="0.25">
      <c r="A14" s="22" t="s">
        <v>34</v>
      </c>
      <c r="B14" s="29" t="s">
        <v>35</v>
      </c>
      <c r="C14" s="24" t="s">
        <v>31</v>
      </c>
      <c r="D14" s="25">
        <f>D15+D16+D17</f>
        <v>83928</v>
      </c>
      <c r="E14" s="25">
        <f>E15+E16+E17</f>
        <v>91759</v>
      </c>
      <c r="F14" s="25">
        <f>F15+F16+F17</f>
        <v>80271.7</v>
      </c>
      <c r="G14" s="25">
        <f>F14*0.98</f>
        <v>78666.265999999989</v>
      </c>
      <c r="H14" s="25">
        <v>82835.578097999984</v>
      </c>
      <c r="I14" s="25">
        <v>87800</v>
      </c>
      <c r="J14" s="25">
        <v>106747</v>
      </c>
      <c r="K14" s="25">
        <f t="shared" ref="K14:V14" si="1">K15+K16+K17</f>
        <v>107886</v>
      </c>
      <c r="L14" s="25">
        <f t="shared" si="1"/>
        <v>108442</v>
      </c>
      <c r="M14" s="25">
        <f t="shared" si="1"/>
        <v>110612</v>
      </c>
      <c r="N14" s="25">
        <f t="shared" si="1"/>
        <v>111718</v>
      </c>
      <c r="O14" s="25">
        <v>83788.5</v>
      </c>
      <c r="P14" s="25">
        <f t="shared" si="1"/>
        <v>111957</v>
      </c>
      <c r="Q14" s="25">
        <f t="shared" si="1"/>
        <v>113076.57</v>
      </c>
      <c r="R14" s="25">
        <f t="shared" si="1"/>
        <v>113076.57</v>
      </c>
      <c r="S14" s="25">
        <f t="shared" si="1"/>
        <v>113302.72314</v>
      </c>
      <c r="T14" s="25">
        <f t="shared" si="1"/>
        <v>113302.72314</v>
      </c>
      <c r="U14" s="25">
        <f t="shared" si="1"/>
        <v>113529.32858628001</v>
      </c>
      <c r="V14" s="26">
        <f t="shared" si="1"/>
        <v>113529.32858628001</v>
      </c>
    </row>
    <row r="15" spans="1:25" s="27" customFormat="1" ht="15.6" x14ac:dyDescent="0.25">
      <c r="A15" s="30"/>
      <c r="B15" s="31" t="s">
        <v>36</v>
      </c>
      <c r="C15" s="24" t="s">
        <v>31</v>
      </c>
      <c r="D15" s="32">
        <v>58626</v>
      </c>
      <c r="E15" s="32">
        <v>66960</v>
      </c>
      <c r="F15" s="32">
        <v>54204</v>
      </c>
      <c r="G15" s="25">
        <f>F15*1.1</f>
        <v>59624.4</v>
      </c>
      <c r="H15" s="25">
        <v>62784.493199999997</v>
      </c>
      <c r="I15" s="25">
        <v>58000</v>
      </c>
      <c r="J15" s="25">
        <v>72054.7</v>
      </c>
      <c r="K15" s="25">
        <v>73486</v>
      </c>
      <c r="L15" s="25">
        <v>74049</v>
      </c>
      <c r="M15" s="25">
        <v>75530</v>
      </c>
      <c r="N15" s="25">
        <f>76285/12*12</f>
        <v>76285</v>
      </c>
      <c r="O15" s="25">
        <v>57213.75</v>
      </c>
      <c r="P15" s="25">
        <v>76300</v>
      </c>
      <c r="Q15" s="25">
        <f t="shared" ref="Q15:Q21" si="2">P15*101%</f>
        <v>77063</v>
      </c>
      <c r="R15" s="25">
        <f>P15*101%</f>
        <v>77063</v>
      </c>
      <c r="S15" s="25">
        <f t="shared" ref="S15:V17" si="3">Q15*100.2%</f>
        <v>77217.126000000004</v>
      </c>
      <c r="T15" s="25">
        <f t="shared" si="3"/>
        <v>77217.126000000004</v>
      </c>
      <c r="U15" s="25">
        <f t="shared" si="3"/>
        <v>77371.56025200001</v>
      </c>
      <c r="V15" s="26">
        <f t="shared" si="3"/>
        <v>77371.56025200001</v>
      </c>
    </row>
    <row r="16" spans="1:25" s="27" customFormat="1" ht="15.6" x14ac:dyDescent="0.25">
      <c r="A16" s="30"/>
      <c r="B16" s="31" t="s">
        <v>37</v>
      </c>
      <c r="C16" s="24" t="s">
        <v>31</v>
      </c>
      <c r="D16" s="32">
        <v>13797</v>
      </c>
      <c r="E16" s="32">
        <v>13523</v>
      </c>
      <c r="F16" s="32">
        <v>13058.7</v>
      </c>
      <c r="G16" s="25">
        <f>F16*1.07</f>
        <v>13972.809000000001</v>
      </c>
      <c r="H16" s="25">
        <v>14713.367877000001</v>
      </c>
      <c r="I16" s="25">
        <v>14950</v>
      </c>
      <c r="J16" s="25">
        <f>355.1*72.22</f>
        <v>25645.322</v>
      </c>
      <c r="K16" s="25">
        <v>25700</v>
      </c>
      <c r="L16" s="25">
        <v>25563</v>
      </c>
      <c r="M16" s="25">
        <v>26075</v>
      </c>
      <c r="N16" s="25">
        <f>26336/12*12</f>
        <v>26336</v>
      </c>
      <c r="O16" s="25">
        <v>19752</v>
      </c>
      <c r="P16" s="25">
        <v>26552</v>
      </c>
      <c r="Q16" s="25">
        <f t="shared" si="2"/>
        <v>26817.52</v>
      </c>
      <c r="R16" s="25">
        <f>P16*101%</f>
        <v>26817.52</v>
      </c>
      <c r="S16" s="25">
        <f t="shared" si="3"/>
        <v>26871.155040000001</v>
      </c>
      <c r="T16" s="25">
        <f t="shared" si="3"/>
        <v>26871.155040000001</v>
      </c>
      <c r="U16" s="25">
        <f t="shared" si="3"/>
        <v>26924.897350080002</v>
      </c>
      <c r="V16" s="26">
        <f t="shared" si="3"/>
        <v>26924.897350080002</v>
      </c>
    </row>
    <row r="17" spans="1:22" s="27" customFormat="1" ht="15.6" x14ac:dyDescent="0.25">
      <c r="A17" s="30"/>
      <c r="B17" s="31" t="s">
        <v>38</v>
      </c>
      <c r="C17" s="24" t="s">
        <v>31</v>
      </c>
      <c r="D17" s="32">
        <v>11505</v>
      </c>
      <c r="E17" s="32">
        <v>11276</v>
      </c>
      <c r="F17" s="32">
        <v>13009</v>
      </c>
      <c r="G17" s="25">
        <f>F17*1.07</f>
        <v>13919.630000000001</v>
      </c>
      <c r="H17" s="25">
        <v>14657.37039</v>
      </c>
      <c r="I17" s="25">
        <v>14850</v>
      </c>
      <c r="J17" s="25">
        <f>53.2*161.64</f>
        <v>8599.2479999999996</v>
      </c>
      <c r="K17" s="25">
        <v>8700</v>
      </c>
      <c r="L17" s="25">
        <v>8830</v>
      </c>
      <c r="M17" s="25">
        <v>9007</v>
      </c>
      <c r="N17" s="25">
        <f>9097/12*12</f>
        <v>9097</v>
      </c>
      <c r="O17" s="25">
        <v>6822.75</v>
      </c>
      <c r="P17" s="25">
        <v>9105</v>
      </c>
      <c r="Q17" s="25">
        <f t="shared" si="2"/>
        <v>9196.0499999999993</v>
      </c>
      <c r="R17" s="25">
        <f>P17*101%</f>
        <v>9196.0499999999993</v>
      </c>
      <c r="S17" s="25">
        <f t="shared" si="3"/>
        <v>9214.4420999999984</v>
      </c>
      <c r="T17" s="25">
        <f t="shared" si="3"/>
        <v>9214.4420999999984</v>
      </c>
      <c r="U17" s="25">
        <f t="shared" si="3"/>
        <v>9232.8709841999989</v>
      </c>
      <c r="V17" s="26">
        <f t="shared" si="3"/>
        <v>9232.8709841999989</v>
      </c>
    </row>
    <row r="18" spans="1:22" s="27" customFormat="1" ht="15.6" x14ac:dyDescent="0.25">
      <c r="A18" s="22" t="s">
        <v>39</v>
      </c>
      <c r="B18" s="29" t="s">
        <v>40</v>
      </c>
      <c r="C18" s="24" t="s">
        <v>31</v>
      </c>
      <c r="D18" s="33">
        <v>6188.52</v>
      </c>
      <c r="E18" s="33">
        <v>7680</v>
      </c>
      <c r="F18" s="33">
        <v>7680</v>
      </c>
      <c r="G18" s="25">
        <v>8432.6</v>
      </c>
      <c r="H18" s="25">
        <v>7646.2080000000005</v>
      </c>
      <c r="I18" s="34">
        <v>7890</v>
      </c>
      <c r="J18" s="34">
        <f>J28*38</f>
        <v>4715.8</v>
      </c>
      <c r="K18" s="34">
        <v>5600</v>
      </c>
      <c r="L18" s="34">
        <v>4904.45</v>
      </c>
      <c r="M18" s="34">
        <v>0</v>
      </c>
      <c r="N18" s="34">
        <v>0</v>
      </c>
      <c r="O18" s="34">
        <v>0</v>
      </c>
      <c r="P18" s="34">
        <v>0</v>
      </c>
      <c r="Q18" s="34">
        <f t="shared" si="2"/>
        <v>0</v>
      </c>
      <c r="R18" s="34">
        <f>P18*100%</f>
        <v>0</v>
      </c>
      <c r="S18" s="34">
        <f>Q18*100.3%</f>
        <v>0</v>
      </c>
      <c r="T18" s="34">
        <f>R18*100.1%</f>
        <v>0</v>
      </c>
      <c r="U18" s="34">
        <f>S18*100.2%</f>
        <v>0</v>
      </c>
      <c r="V18" s="35">
        <f>T18*100.1%</f>
        <v>0</v>
      </c>
    </row>
    <row r="19" spans="1:22" s="27" customFormat="1" ht="15.6" x14ac:dyDescent="0.25">
      <c r="A19" s="36" t="s">
        <v>41</v>
      </c>
      <c r="B19" s="29" t="s">
        <v>42</v>
      </c>
      <c r="C19" s="24" t="s">
        <v>31</v>
      </c>
      <c r="D19" s="32">
        <v>852084</v>
      </c>
      <c r="E19" s="32">
        <v>835041</v>
      </c>
      <c r="F19" s="32">
        <v>891415</v>
      </c>
      <c r="G19" s="25">
        <v>893112</v>
      </c>
      <c r="H19" s="25">
        <v>971815.80599999998</v>
      </c>
      <c r="I19" s="34">
        <v>988960</v>
      </c>
      <c r="J19" s="34">
        <v>1695233</v>
      </c>
      <c r="K19" s="25">
        <v>1783325</v>
      </c>
      <c r="L19" s="25">
        <v>1628714</v>
      </c>
      <c r="M19" s="25">
        <v>1640660</v>
      </c>
      <c r="N19" s="25">
        <v>3297631</v>
      </c>
      <c r="O19" s="25">
        <v>1230525</v>
      </c>
      <c r="P19" s="25">
        <v>1722735</v>
      </c>
      <c r="Q19" s="34">
        <f t="shared" si="2"/>
        <v>1739962.35</v>
      </c>
      <c r="R19" s="25">
        <f>P19*108%</f>
        <v>1860553.8</v>
      </c>
      <c r="S19" s="25">
        <f>Q19*100.3%</f>
        <v>1745182.2370499999</v>
      </c>
      <c r="T19" s="25">
        <f>R19*103%</f>
        <v>1916370.4140000001</v>
      </c>
      <c r="U19" s="25">
        <f>S19*1.05</f>
        <v>1832441.3489025</v>
      </c>
      <c r="V19" s="26">
        <f t="shared" ref="V19" si="4">T19*101%</f>
        <v>1935534.1181400002</v>
      </c>
    </row>
    <row r="20" spans="1:22" s="27" customFormat="1" ht="15.6" x14ac:dyDescent="0.25">
      <c r="A20" s="36" t="s">
        <v>43</v>
      </c>
      <c r="B20" s="31" t="s">
        <v>44</v>
      </c>
      <c r="C20" s="24" t="s">
        <v>31</v>
      </c>
      <c r="D20" s="32">
        <v>7958</v>
      </c>
      <c r="E20" s="32">
        <v>64624</v>
      </c>
      <c r="F20" s="32">
        <v>64624</v>
      </c>
      <c r="G20" s="25">
        <v>65916.5</v>
      </c>
      <c r="H20" s="25">
        <v>66018.887999999992</v>
      </c>
      <c r="I20" s="34">
        <v>61400</v>
      </c>
      <c r="J20" s="34">
        <v>66523</v>
      </c>
      <c r="K20" s="25">
        <v>67854</v>
      </c>
      <c r="L20" s="25">
        <v>67855</v>
      </c>
      <c r="M20" s="25">
        <v>70050</v>
      </c>
      <c r="N20" s="25">
        <f>70050/12*12</f>
        <v>70050</v>
      </c>
      <c r="O20" s="25">
        <v>52537.5</v>
      </c>
      <c r="P20" s="25">
        <v>72852</v>
      </c>
      <c r="Q20" s="34">
        <f t="shared" si="2"/>
        <v>73580.52</v>
      </c>
      <c r="R20" s="25">
        <f>P20*103%</f>
        <v>75037.56</v>
      </c>
      <c r="S20" s="25">
        <f>Q20*1.01</f>
        <v>74316.325200000007</v>
      </c>
      <c r="T20" s="25">
        <f>R20*1.03</f>
        <v>77288.686799999996</v>
      </c>
      <c r="U20" s="25">
        <f>S20*1.01</f>
        <v>75059.488452000005</v>
      </c>
      <c r="V20" s="26">
        <f>T20*1.03</f>
        <v>79607.347404</v>
      </c>
    </row>
    <row r="21" spans="1:22" s="27" customFormat="1" ht="15.6" x14ac:dyDescent="0.25">
      <c r="A21" s="36" t="s">
        <v>45</v>
      </c>
      <c r="B21" s="31" t="s">
        <v>46</v>
      </c>
      <c r="C21" s="24" t="s">
        <v>31</v>
      </c>
      <c r="D21" s="32">
        <v>31911.84</v>
      </c>
      <c r="E21" s="32">
        <v>31275</v>
      </c>
      <c r="F21" s="32">
        <v>31275</v>
      </c>
      <c r="G21" s="25">
        <v>34371.199999999997</v>
      </c>
      <c r="H21" s="25">
        <v>32273.923499999997</v>
      </c>
      <c r="I21" s="34">
        <v>31250</v>
      </c>
      <c r="J21" s="34">
        <v>29105</v>
      </c>
      <c r="K21" s="25">
        <v>29000</v>
      </c>
      <c r="L21" s="25">
        <v>26519</v>
      </c>
      <c r="M21" s="25">
        <v>26254</v>
      </c>
      <c r="N21" s="25">
        <f>26258/12*12</f>
        <v>26258</v>
      </c>
      <c r="O21" s="25">
        <v>19693.5</v>
      </c>
      <c r="P21" s="25">
        <v>26259</v>
      </c>
      <c r="Q21" s="34">
        <f t="shared" si="2"/>
        <v>26521.59</v>
      </c>
      <c r="R21" s="25">
        <f>P21*103%</f>
        <v>27046.77</v>
      </c>
      <c r="S21" s="25">
        <f>Q21*1.01</f>
        <v>26786.805899999999</v>
      </c>
      <c r="T21" s="25">
        <f>R21*1.03</f>
        <v>27858.1731</v>
      </c>
      <c r="U21" s="25">
        <f>S21*1.01</f>
        <v>27054.673959</v>
      </c>
      <c r="V21" s="26">
        <f>T21*1.03</f>
        <v>28693.918293000002</v>
      </c>
    </row>
    <row r="22" spans="1:22" s="27" customFormat="1" ht="15.6" outlineLevel="1" x14ac:dyDescent="0.25">
      <c r="A22" s="36" t="s">
        <v>47</v>
      </c>
      <c r="B22" s="37" t="s">
        <v>48</v>
      </c>
      <c r="C22" s="24" t="s">
        <v>31</v>
      </c>
      <c r="D22" s="32"/>
      <c r="E22" s="32">
        <v>149067</v>
      </c>
      <c r="F22" s="32">
        <v>149100</v>
      </c>
      <c r="G22" s="25">
        <f>F22*1.3</f>
        <v>193830</v>
      </c>
      <c r="H22" s="25">
        <v>105600</v>
      </c>
      <c r="I22" s="25">
        <v>0</v>
      </c>
      <c r="J22" s="25">
        <v>0</v>
      </c>
      <c r="K22" s="25">
        <v>0</v>
      </c>
      <c r="L22" s="25"/>
      <c r="M22" s="25"/>
      <c r="N22" s="34">
        <v>145787.69</v>
      </c>
      <c r="O22" s="34">
        <v>0</v>
      </c>
      <c r="P22" s="25">
        <v>140300</v>
      </c>
      <c r="Q22" s="25">
        <f>P22*0.99</f>
        <v>138897</v>
      </c>
      <c r="R22" s="25">
        <f>P22*1.02</f>
        <v>143106</v>
      </c>
      <c r="S22" s="25">
        <f>Q22*1.01</f>
        <v>140285.97</v>
      </c>
      <c r="T22" s="25">
        <f>R22*1.01</f>
        <v>144537.06</v>
      </c>
      <c r="U22" s="25">
        <f>S22*1.01</f>
        <v>141688.8297</v>
      </c>
      <c r="V22" s="26">
        <f>T22*1.015</f>
        <v>146705.11589999998</v>
      </c>
    </row>
    <row r="23" spans="1:22" s="27" customFormat="1" ht="15.6" outlineLevel="1" x14ac:dyDescent="0.25">
      <c r="A23" s="36" t="s">
        <v>47</v>
      </c>
      <c r="B23" s="31" t="s">
        <v>49</v>
      </c>
      <c r="C23" s="24" t="s">
        <v>31</v>
      </c>
      <c r="D23" s="32"/>
      <c r="E23" s="32"/>
      <c r="F23" s="32"/>
      <c r="G23" s="25"/>
      <c r="H23" s="25"/>
      <c r="I23" s="25"/>
      <c r="J23" s="25">
        <v>56936</v>
      </c>
      <c r="K23" s="25">
        <v>0</v>
      </c>
      <c r="L23" s="25">
        <v>0</v>
      </c>
      <c r="M23" s="25"/>
      <c r="N23" s="25">
        <v>427502</v>
      </c>
      <c r="O23" s="25">
        <v>0</v>
      </c>
      <c r="P23" s="25">
        <v>407263</v>
      </c>
      <c r="Q23" s="25">
        <f>P23*0.98</f>
        <v>399117.74</v>
      </c>
      <c r="R23" s="25">
        <f>P23*1.005</f>
        <v>409299.31499999994</v>
      </c>
      <c r="S23" s="25">
        <f>Q23*1.005</f>
        <v>401113.32869999995</v>
      </c>
      <c r="T23" s="25">
        <f>R23*1.06</f>
        <v>433857.27389999997</v>
      </c>
      <c r="U23" s="25">
        <f>S23*1.05</f>
        <v>421168.99513499998</v>
      </c>
      <c r="V23" s="26">
        <f>T23*1.07</f>
        <v>464227.28307299997</v>
      </c>
    </row>
    <row r="24" spans="1:22" s="27" customFormat="1" ht="15.6" x14ac:dyDescent="0.25">
      <c r="A24" s="36" t="s">
        <v>47</v>
      </c>
      <c r="B24" s="31" t="s">
        <v>50</v>
      </c>
      <c r="C24" s="24" t="s">
        <v>31</v>
      </c>
      <c r="D24" s="32"/>
      <c r="E24" s="32"/>
      <c r="F24" s="32"/>
      <c r="G24" s="25"/>
      <c r="H24" s="25"/>
      <c r="I24" s="25"/>
      <c r="J24" s="25">
        <v>101934</v>
      </c>
      <c r="K24" s="25">
        <v>50200</v>
      </c>
      <c r="L24" s="25">
        <v>48300</v>
      </c>
      <c r="M24" s="25">
        <v>20130</v>
      </c>
      <c r="N24" s="25">
        <f>18300/12*12</f>
        <v>18300</v>
      </c>
      <c r="O24" s="25">
        <v>13725</v>
      </c>
      <c r="P24" s="25">
        <v>13600</v>
      </c>
      <c r="Q24" s="25">
        <f>P24*98%</f>
        <v>13328</v>
      </c>
      <c r="R24" s="25">
        <f>P24*1</f>
        <v>13600</v>
      </c>
      <c r="S24" s="25">
        <f>Q24*98%</f>
        <v>13061.44</v>
      </c>
      <c r="T24" s="25">
        <f>R24*1</f>
        <v>13600</v>
      </c>
      <c r="U24" s="25">
        <f>S24*98%</f>
        <v>12800.2112</v>
      </c>
      <c r="V24" s="26">
        <f>T24*1</f>
        <v>13600</v>
      </c>
    </row>
    <row r="25" spans="1:22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38"/>
      <c r="Q25" s="25"/>
      <c r="R25" s="25"/>
      <c r="S25" s="25"/>
      <c r="T25" s="25"/>
      <c r="U25" s="25"/>
      <c r="V25" s="26"/>
    </row>
    <row r="26" spans="1:22" s="27" customFormat="1" ht="15.6" x14ac:dyDescent="0.25">
      <c r="A26" s="22"/>
      <c r="B26" s="29" t="s">
        <v>54</v>
      </c>
      <c r="C26" s="24" t="s">
        <v>55</v>
      </c>
      <c r="D26" s="28">
        <f>50.8*1.011</f>
        <v>51.358799999999995</v>
      </c>
      <c r="E26" s="28">
        <v>47.75</v>
      </c>
      <c r="F26" s="28">
        <v>45.3</v>
      </c>
      <c r="G26" s="28">
        <f>F26*0.98</f>
        <v>44.393999999999998</v>
      </c>
      <c r="H26" s="28">
        <v>45.104303999999999</v>
      </c>
      <c r="I26" s="28">
        <v>42.8</v>
      </c>
      <c r="J26" s="28">
        <v>42.5</v>
      </c>
      <c r="K26" s="39">
        <v>43.3</v>
      </c>
      <c r="L26" s="39">
        <v>43.2</v>
      </c>
      <c r="M26" s="39">
        <v>43.3</v>
      </c>
      <c r="N26" s="39">
        <f>43.3/12*12</f>
        <v>43.3</v>
      </c>
      <c r="O26" s="39">
        <v>32.474999999999994</v>
      </c>
      <c r="P26" s="39">
        <v>43.3</v>
      </c>
      <c r="Q26" s="28">
        <f>P26*101%</f>
        <v>43.732999999999997</v>
      </c>
      <c r="R26" s="39">
        <f>P26*101%</f>
        <v>43.732999999999997</v>
      </c>
      <c r="S26" s="28">
        <f t="shared" ref="S26:V27" si="5">Q26*100.2%</f>
        <v>43.820465999999996</v>
      </c>
      <c r="T26" s="28">
        <f t="shared" si="5"/>
        <v>43.820465999999996</v>
      </c>
      <c r="U26" s="28">
        <f t="shared" si="5"/>
        <v>43.908106931999995</v>
      </c>
      <c r="V26" s="40">
        <f t="shared" si="5"/>
        <v>43.908106931999995</v>
      </c>
    </row>
    <row r="27" spans="1:22" s="27" customFormat="1" ht="15.6" x14ac:dyDescent="0.25">
      <c r="A27" s="22"/>
      <c r="B27" s="29" t="s">
        <v>56</v>
      </c>
      <c r="C27" s="24" t="s">
        <v>57</v>
      </c>
      <c r="D27" s="25">
        <v>523.5</v>
      </c>
      <c r="E27" s="28">
        <v>429</v>
      </c>
      <c r="F27" s="28">
        <v>510.7</v>
      </c>
      <c r="G27" s="28">
        <f>F27*0.98</f>
        <v>500.48599999999999</v>
      </c>
      <c r="H27" s="28">
        <v>508.49377600000003</v>
      </c>
      <c r="I27" s="28">
        <v>505.6</v>
      </c>
      <c r="J27" s="28">
        <v>408.3</v>
      </c>
      <c r="K27" s="39">
        <v>409.2</v>
      </c>
      <c r="L27" s="39">
        <v>401</v>
      </c>
      <c r="M27" s="39">
        <v>409.6</v>
      </c>
      <c r="N27" s="39">
        <f>409.6/12*12</f>
        <v>409.6</v>
      </c>
      <c r="O27" s="39">
        <v>307.2</v>
      </c>
      <c r="P27" s="39">
        <v>409.6</v>
      </c>
      <c r="Q27" s="28">
        <f>P27*101%</f>
        <v>413.69600000000003</v>
      </c>
      <c r="R27" s="39">
        <f>P27*101%</f>
        <v>413.69600000000003</v>
      </c>
      <c r="S27" s="28">
        <f t="shared" si="5"/>
        <v>414.523392</v>
      </c>
      <c r="T27" s="28">
        <f t="shared" si="5"/>
        <v>414.523392</v>
      </c>
      <c r="U27" s="28">
        <f t="shared" si="5"/>
        <v>415.35243878400001</v>
      </c>
      <c r="V27" s="40">
        <f t="shared" si="5"/>
        <v>415.35243878400001</v>
      </c>
    </row>
    <row r="28" spans="1:22" s="27" customFormat="1" ht="15.6" x14ac:dyDescent="0.25">
      <c r="A28" s="41" t="s">
        <v>58</v>
      </c>
      <c r="B28" s="29" t="s">
        <v>59</v>
      </c>
      <c r="C28" s="24" t="s">
        <v>60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3">
        <v>225.3</v>
      </c>
      <c r="J28" s="43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2">
        <v>0</v>
      </c>
      <c r="Q28" s="43">
        <f t="shared" ref="Q28" si="6">P28*102%</f>
        <v>0</v>
      </c>
      <c r="R28" s="42">
        <f>P28*1</f>
        <v>0</v>
      </c>
      <c r="S28" s="42">
        <f>Q28*1.005</f>
        <v>0</v>
      </c>
      <c r="T28" s="42">
        <f>R28*1.005</f>
        <v>0</v>
      </c>
      <c r="U28" s="42">
        <f>S28*1.006</f>
        <v>0</v>
      </c>
      <c r="V28" s="44">
        <f>T28*1.006</f>
        <v>0</v>
      </c>
    </row>
    <row r="29" spans="1:22" s="27" customFormat="1" ht="15.6" x14ac:dyDescent="0.25">
      <c r="A29" s="22" t="s">
        <v>61</v>
      </c>
      <c r="B29" s="29" t="s">
        <v>42</v>
      </c>
      <c r="C29" s="24" t="s">
        <v>62</v>
      </c>
      <c r="D29" s="25">
        <v>1298</v>
      </c>
      <c r="E29" s="25">
        <v>1297</v>
      </c>
      <c r="F29" s="25">
        <v>1328</v>
      </c>
      <c r="G29" s="25">
        <f>F29*1.1</f>
        <v>1460.8000000000002</v>
      </c>
      <c r="H29" s="25">
        <v>1538.2224000000001</v>
      </c>
      <c r="I29" s="25">
        <v>1519</v>
      </c>
      <c r="J29" s="25">
        <v>2401</v>
      </c>
      <c r="K29" s="25">
        <v>2526</v>
      </c>
      <c r="L29" s="25">
        <v>2307</v>
      </c>
      <c r="M29" s="25">
        <v>2526</v>
      </c>
      <c r="N29" s="25">
        <v>2238</v>
      </c>
      <c r="O29" s="25">
        <v>1875</v>
      </c>
      <c r="P29" s="25">
        <v>2625</v>
      </c>
      <c r="Q29" s="25">
        <f>P29*1.06</f>
        <v>2782.5</v>
      </c>
      <c r="R29" s="25">
        <f>P29*1.12</f>
        <v>2940.0000000000005</v>
      </c>
      <c r="S29" s="25">
        <f>Q29*1.08</f>
        <v>3005.1000000000004</v>
      </c>
      <c r="T29" s="25">
        <f>R29*1.12</f>
        <v>3292.8000000000006</v>
      </c>
      <c r="U29" s="25">
        <f>S29*1.08</f>
        <v>3245.5080000000007</v>
      </c>
      <c r="V29" s="26">
        <f>T29*1.12</f>
        <v>3687.9360000000011</v>
      </c>
    </row>
    <row r="30" spans="1:22" s="27" customFormat="1" ht="15.6" x14ac:dyDescent="0.25">
      <c r="A30" s="22" t="s">
        <v>63</v>
      </c>
      <c r="B30" s="31" t="s">
        <v>44</v>
      </c>
      <c r="C30" s="24" t="s">
        <v>64</v>
      </c>
      <c r="D30" s="25">
        <v>20041</v>
      </c>
      <c r="E30" s="25">
        <v>41821</v>
      </c>
      <c r="F30" s="25">
        <v>43524</v>
      </c>
      <c r="G30" s="25">
        <v>44120</v>
      </c>
      <c r="H30" s="25">
        <v>50413.849199999997</v>
      </c>
      <c r="I30" s="25">
        <v>50799</v>
      </c>
      <c r="J30" s="25">
        <v>49952</v>
      </c>
      <c r="K30" s="25">
        <v>50951</v>
      </c>
      <c r="L30" s="25">
        <v>50951</v>
      </c>
      <c r="M30" s="25">
        <v>51000</v>
      </c>
      <c r="N30" s="25">
        <f>51000/12*12</f>
        <v>51000</v>
      </c>
      <c r="O30" s="25">
        <v>38250</v>
      </c>
      <c r="P30" s="25">
        <v>68000</v>
      </c>
      <c r="Q30" s="25">
        <v>51000</v>
      </c>
      <c r="R30" s="25">
        <f>P30*1.01</f>
        <v>68680</v>
      </c>
      <c r="S30" s="25">
        <f>Q30</f>
        <v>51000</v>
      </c>
      <c r="T30" s="25">
        <f>R30*1</f>
        <v>68680</v>
      </c>
      <c r="U30" s="25">
        <f>S30</f>
        <v>51000</v>
      </c>
      <c r="V30" s="26">
        <f>T30*1.002</f>
        <v>68817.36</v>
      </c>
    </row>
    <row r="31" spans="1:22" s="27" customFormat="1" ht="15.6" x14ac:dyDescent="0.25">
      <c r="A31" s="22" t="s">
        <v>65</v>
      </c>
      <c r="B31" s="31" t="s">
        <v>46</v>
      </c>
      <c r="C31" s="24" t="s">
        <v>62</v>
      </c>
      <c r="D31" s="25">
        <v>500</v>
      </c>
      <c r="E31" s="25">
        <v>491</v>
      </c>
      <c r="F31" s="25">
        <v>513</v>
      </c>
      <c r="G31" s="25">
        <f>F31*1.1</f>
        <v>564.30000000000007</v>
      </c>
      <c r="H31" s="25">
        <v>594.2079</v>
      </c>
      <c r="I31" s="25">
        <v>598</v>
      </c>
      <c r="J31" s="25">
        <v>528</v>
      </c>
      <c r="K31" s="25">
        <v>526</v>
      </c>
      <c r="L31" s="25">
        <v>481</v>
      </c>
      <c r="M31" s="25">
        <v>515</v>
      </c>
      <c r="N31" s="25">
        <f>495/12*12</f>
        <v>495</v>
      </c>
      <c r="O31" s="25">
        <v>371.25</v>
      </c>
      <c r="P31" s="25">
        <v>495</v>
      </c>
      <c r="Q31" s="25">
        <f>P31*101%</f>
        <v>499.95</v>
      </c>
      <c r="R31" s="25">
        <f>P31*1.03</f>
        <v>509.85</v>
      </c>
      <c r="S31" s="25">
        <f>Q31*1.01</f>
        <v>504.9495</v>
      </c>
      <c r="T31" s="25">
        <f>R31*1.02</f>
        <v>520.04700000000003</v>
      </c>
      <c r="U31" s="25">
        <f>S31</f>
        <v>504.9495</v>
      </c>
      <c r="V31" s="26">
        <f>T31*1.01</f>
        <v>525.24747000000002</v>
      </c>
    </row>
    <row r="32" spans="1:22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>
        <v>59892</v>
      </c>
      <c r="O32" s="34">
        <f>N32/12*9</f>
        <v>44919</v>
      </c>
      <c r="P32" s="25">
        <v>59900</v>
      </c>
      <c r="Q32" s="25">
        <f>P32</f>
        <v>59900</v>
      </c>
      <c r="R32" s="25">
        <f>P32*1.01</f>
        <v>60499</v>
      </c>
      <c r="S32" s="25">
        <f>P32</f>
        <v>59900</v>
      </c>
      <c r="T32" s="25">
        <f>R32*1.02</f>
        <v>61708.98</v>
      </c>
      <c r="U32" s="25">
        <f>P32</f>
        <v>59900</v>
      </c>
      <c r="V32" s="26">
        <f>T32*1.03</f>
        <v>63560.249400000008</v>
      </c>
    </row>
    <row r="33" spans="1:22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>
        <v>0.05</v>
      </c>
      <c r="E33" s="33">
        <v>0.06</v>
      </c>
      <c r="F33" s="33">
        <v>7.0000000000000007E-2</v>
      </c>
      <c r="G33" s="33">
        <v>0.1</v>
      </c>
      <c r="H33" s="33">
        <v>0</v>
      </c>
      <c r="I33" s="33">
        <v>0</v>
      </c>
      <c r="J33" s="33">
        <v>0</v>
      </c>
      <c r="K33" s="33">
        <v>0</v>
      </c>
      <c r="L33" s="33"/>
      <c r="M33" s="33"/>
      <c r="N33" s="33">
        <v>587.38400000000001</v>
      </c>
      <c r="O33" s="33">
        <f>N33/12*9</f>
        <v>440.53800000000001</v>
      </c>
      <c r="P33" s="33">
        <v>587.39</v>
      </c>
      <c r="Q33" s="33">
        <f>P33</f>
        <v>587.39</v>
      </c>
      <c r="R33" s="33">
        <f>P33*1.01</f>
        <v>593.26390000000004</v>
      </c>
      <c r="S33" s="33">
        <f>P33</f>
        <v>587.39</v>
      </c>
      <c r="T33" s="33">
        <f>R33*1.02</f>
        <v>605.12917800000002</v>
      </c>
      <c r="U33" s="33">
        <f>P33</f>
        <v>587.39</v>
      </c>
      <c r="V33" s="46">
        <f>T33*1.03</f>
        <v>623.28305334000004</v>
      </c>
    </row>
    <row r="34" spans="1:22" s="27" customFormat="1" ht="31.2" x14ac:dyDescent="0.25">
      <c r="A34" s="47" t="s">
        <v>69</v>
      </c>
      <c r="B34" s="48" t="s">
        <v>70</v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38"/>
      <c r="Q34" s="25"/>
      <c r="R34" s="25"/>
      <c r="S34" s="25"/>
      <c r="T34" s="25"/>
      <c r="U34" s="25"/>
      <c r="V34" s="26"/>
    </row>
    <row r="35" spans="1:22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38"/>
      <c r="Q35" s="25"/>
      <c r="R35" s="25"/>
      <c r="S35" s="25"/>
      <c r="T35" s="25"/>
      <c r="U35" s="25"/>
      <c r="V35" s="26"/>
    </row>
    <row r="36" spans="1:22" s="27" customFormat="1" ht="15.6" x14ac:dyDescent="0.25">
      <c r="A36" s="22"/>
      <c r="B36" s="29" t="s">
        <v>72</v>
      </c>
      <c r="C36" s="24" t="s">
        <v>73</v>
      </c>
      <c r="D36" s="33">
        <f>D39+D40+D42+D43+D45</f>
        <v>74.709999999999994</v>
      </c>
      <c r="E36" s="33">
        <v>67.5</v>
      </c>
      <c r="F36" s="33">
        <v>33.6</v>
      </c>
      <c r="G36" s="49">
        <f t="shared" ref="G36" si="7">G39+G40+G42+G43+G45</f>
        <v>15.7</v>
      </c>
      <c r="H36" s="33">
        <v>5.5019999999999998</v>
      </c>
      <c r="I36" s="33">
        <v>3</v>
      </c>
      <c r="J36" s="33">
        <v>4.01</v>
      </c>
      <c r="K36" s="33">
        <v>3.1</v>
      </c>
      <c r="L36" s="33">
        <v>2.5</v>
      </c>
      <c r="M36" s="33">
        <v>0</v>
      </c>
      <c r="N36" s="33">
        <v>0</v>
      </c>
      <c r="O36" s="33">
        <v>0</v>
      </c>
      <c r="P36" s="33">
        <v>0</v>
      </c>
      <c r="Q36" s="33">
        <v>0</v>
      </c>
      <c r="R36" s="33">
        <v>1.1000000000000001</v>
      </c>
      <c r="S36" s="33">
        <f>Q36*102%</f>
        <v>0</v>
      </c>
      <c r="T36" s="33">
        <f>R36*1.05</f>
        <v>1.1550000000000002</v>
      </c>
      <c r="U36" s="33">
        <f>S36*102%</f>
        <v>0</v>
      </c>
      <c r="V36" s="46">
        <f>T36*1.06</f>
        <v>1.2243000000000004</v>
      </c>
    </row>
    <row r="37" spans="1:22" s="27" customFormat="1" ht="15.6" hidden="1" outlineLevel="1" x14ac:dyDescent="0.25">
      <c r="A37" s="22"/>
      <c r="B37" s="29" t="s">
        <v>74</v>
      </c>
      <c r="C37" s="24"/>
      <c r="D37" s="33">
        <f>D41</f>
        <v>3.25</v>
      </c>
      <c r="E37" s="33">
        <f>E41</f>
        <v>0</v>
      </c>
      <c r="F37" s="33">
        <f>F41</f>
        <v>0</v>
      </c>
      <c r="G37" s="49">
        <f>F37*0.95</f>
        <v>0</v>
      </c>
      <c r="H37" s="50"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1">
        <f t="shared" ref="S37:S43" si="8">Q37*1.015</f>
        <v>0</v>
      </c>
      <c r="T37" s="51">
        <f t="shared" ref="T37:T43" si="9">R37*1.02</f>
        <v>0</v>
      </c>
      <c r="U37" s="51">
        <f t="shared" ref="U37:V43" si="10">S37*1.017</f>
        <v>0</v>
      </c>
      <c r="V37" s="52">
        <f t="shared" si="10"/>
        <v>0</v>
      </c>
    </row>
    <row r="38" spans="1:22" s="27" customFormat="1" ht="15.6" hidden="1" outlineLevel="1" x14ac:dyDescent="0.25">
      <c r="A38" s="22"/>
      <c r="B38" s="29" t="s">
        <v>75</v>
      </c>
      <c r="C38" s="24" t="s">
        <v>76</v>
      </c>
      <c r="D38" s="50">
        <v>8.0000000000000002E-3</v>
      </c>
      <c r="E38" s="50">
        <v>5.0000000000000001E-3</v>
      </c>
      <c r="F38" s="50">
        <v>5.0000000000000001E-3</v>
      </c>
      <c r="G38" s="49">
        <f>F38*0.95</f>
        <v>4.7499999999999999E-3</v>
      </c>
      <c r="H38" s="50">
        <v>4.9779999999999998E-3</v>
      </c>
      <c r="I38" s="50"/>
      <c r="J38" s="50"/>
      <c r="K38" s="50"/>
      <c r="L38" s="50"/>
      <c r="M38" s="50"/>
      <c r="N38" s="50"/>
      <c r="O38" s="50"/>
      <c r="P38" s="50"/>
      <c r="Q38" s="50"/>
      <c r="R38" s="50"/>
      <c r="S38" s="51">
        <f t="shared" si="8"/>
        <v>0</v>
      </c>
      <c r="T38" s="51">
        <f t="shared" si="9"/>
        <v>0</v>
      </c>
      <c r="U38" s="51">
        <f t="shared" si="10"/>
        <v>0</v>
      </c>
      <c r="V38" s="52">
        <f t="shared" si="10"/>
        <v>0</v>
      </c>
    </row>
    <row r="39" spans="1:22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4">
        <v>10</v>
      </c>
      <c r="E39" s="54">
        <v>7.5</v>
      </c>
      <c r="F39" s="54">
        <v>7.5</v>
      </c>
      <c r="G39" s="49">
        <v>5.3</v>
      </c>
      <c r="H39" s="50">
        <v>5.5020000000000007</v>
      </c>
      <c r="I39" s="50">
        <v>3</v>
      </c>
      <c r="J39" s="50">
        <v>0</v>
      </c>
      <c r="K39" s="50">
        <v>0</v>
      </c>
      <c r="L39" s="50"/>
      <c r="M39" s="50"/>
      <c r="N39" s="50">
        <v>0</v>
      </c>
      <c r="O39" s="50">
        <v>0</v>
      </c>
      <c r="P39" s="50">
        <v>0</v>
      </c>
      <c r="Q39" s="50">
        <v>3</v>
      </c>
      <c r="R39" s="50">
        <v>0</v>
      </c>
      <c r="S39" s="51">
        <f t="shared" si="8"/>
        <v>3.0449999999999999</v>
      </c>
      <c r="T39" s="51">
        <f t="shared" si="9"/>
        <v>0</v>
      </c>
      <c r="U39" s="51">
        <f t="shared" si="10"/>
        <v>3.0967649999999995</v>
      </c>
      <c r="V39" s="52">
        <f t="shared" si="10"/>
        <v>0</v>
      </c>
    </row>
    <row r="40" spans="1:22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4">
        <v>6.5</v>
      </c>
      <c r="E40" s="54">
        <v>8.9</v>
      </c>
      <c r="F40" s="54">
        <v>3.3</v>
      </c>
      <c r="G40" s="49">
        <v>0</v>
      </c>
      <c r="H40" s="50">
        <v>0</v>
      </c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1">
        <f t="shared" si="8"/>
        <v>0</v>
      </c>
      <c r="T40" s="51">
        <f t="shared" si="9"/>
        <v>0</v>
      </c>
      <c r="U40" s="51">
        <f t="shared" si="10"/>
        <v>0</v>
      </c>
      <c r="V40" s="52">
        <f t="shared" si="10"/>
        <v>0</v>
      </c>
    </row>
    <row r="41" spans="1:22" s="27" customFormat="1" ht="15.6" hidden="1" outlineLevel="1" x14ac:dyDescent="0.25">
      <c r="A41" s="30"/>
      <c r="B41" s="31" t="s">
        <v>74</v>
      </c>
      <c r="C41" s="53" t="s">
        <v>73</v>
      </c>
      <c r="D41" s="54">
        <v>3.25</v>
      </c>
      <c r="E41" s="54">
        <v>0</v>
      </c>
      <c r="F41" s="54">
        <v>0</v>
      </c>
      <c r="G41" s="49">
        <f t="shared" ref="G41:G46" si="11">F41*0.95</f>
        <v>0</v>
      </c>
      <c r="H41" s="50"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1">
        <f t="shared" si="8"/>
        <v>0</v>
      </c>
      <c r="T41" s="51">
        <f t="shared" si="9"/>
        <v>0</v>
      </c>
      <c r="U41" s="51">
        <f t="shared" si="10"/>
        <v>0</v>
      </c>
      <c r="V41" s="52">
        <f t="shared" si="10"/>
        <v>0</v>
      </c>
    </row>
    <row r="42" spans="1:22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4">
        <v>26.61</v>
      </c>
      <c r="E42" s="54">
        <v>32.9</v>
      </c>
      <c r="F42" s="54">
        <v>10.9</v>
      </c>
      <c r="G42" s="49">
        <v>10.4</v>
      </c>
      <c r="H42" s="50">
        <v>0</v>
      </c>
      <c r="I42" s="50">
        <v>0</v>
      </c>
      <c r="J42" s="50"/>
      <c r="K42" s="50">
        <v>0</v>
      </c>
      <c r="L42" s="50"/>
      <c r="M42" s="50"/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1">
        <f t="shared" si="8"/>
        <v>0</v>
      </c>
      <c r="T42" s="51">
        <f t="shared" si="9"/>
        <v>0</v>
      </c>
      <c r="U42" s="51">
        <f t="shared" si="10"/>
        <v>0</v>
      </c>
      <c r="V42" s="52">
        <f t="shared" si="10"/>
        <v>0</v>
      </c>
    </row>
    <row r="43" spans="1:22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4">
        <v>26</v>
      </c>
      <c r="E43" s="54">
        <v>12.4</v>
      </c>
      <c r="F43" s="54">
        <v>0</v>
      </c>
      <c r="G43" s="49">
        <f t="shared" si="11"/>
        <v>0</v>
      </c>
      <c r="H43" s="50">
        <v>0</v>
      </c>
      <c r="I43" s="50">
        <v>0</v>
      </c>
      <c r="J43" s="50"/>
      <c r="K43" s="50">
        <v>0</v>
      </c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1">
        <f t="shared" si="8"/>
        <v>0</v>
      </c>
      <c r="T43" s="51">
        <f t="shared" si="9"/>
        <v>0</v>
      </c>
      <c r="U43" s="51">
        <f t="shared" si="10"/>
        <v>0</v>
      </c>
      <c r="V43" s="52">
        <f t="shared" si="10"/>
        <v>0</v>
      </c>
    </row>
    <row r="44" spans="1:22" s="27" customFormat="1" ht="15.6" hidden="1" outlineLevel="1" x14ac:dyDescent="0.25">
      <c r="A44" s="30" t="s">
        <v>43</v>
      </c>
      <c r="B44" s="31" t="s">
        <v>81</v>
      </c>
      <c r="C44" s="53"/>
      <c r="D44" s="54"/>
      <c r="E44" s="54"/>
      <c r="F44" s="54"/>
      <c r="G44" s="49">
        <f t="shared" si="11"/>
        <v>0</v>
      </c>
      <c r="H44" s="50">
        <v>0</v>
      </c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1">
        <f t="shared" ref="S44:S46" si="12">T44*0.98</f>
        <v>0</v>
      </c>
      <c r="T44" s="51">
        <f>R44*1.043</f>
        <v>0</v>
      </c>
      <c r="U44" s="51">
        <f t="shared" ref="U44:U46" si="13">V44*0.98</f>
        <v>0</v>
      </c>
      <c r="V44" s="52">
        <f>T44*1.043</f>
        <v>0</v>
      </c>
    </row>
    <row r="45" spans="1:22" s="27" customFormat="1" ht="15.6" hidden="1" outlineLevel="1" x14ac:dyDescent="0.25">
      <c r="A45" s="30"/>
      <c r="B45" s="31" t="s">
        <v>82</v>
      </c>
      <c r="C45" s="53" t="s">
        <v>73</v>
      </c>
      <c r="D45" s="54">
        <v>5.6</v>
      </c>
      <c r="E45" s="54">
        <v>2.4</v>
      </c>
      <c r="F45" s="54">
        <v>0</v>
      </c>
      <c r="G45" s="49">
        <f t="shared" si="11"/>
        <v>0</v>
      </c>
      <c r="H45" s="50">
        <v>0</v>
      </c>
      <c r="I45" s="50"/>
      <c r="J45" s="50"/>
      <c r="K45" s="50"/>
      <c r="L45" s="50"/>
      <c r="M45" s="50"/>
      <c r="N45" s="50"/>
      <c r="O45" s="50"/>
      <c r="P45" s="50"/>
      <c r="Q45" s="50"/>
      <c r="R45" s="50"/>
      <c r="S45" s="51">
        <f t="shared" si="12"/>
        <v>0</v>
      </c>
      <c r="T45" s="51">
        <f>R45*1.043</f>
        <v>0</v>
      </c>
      <c r="U45" s="51">
        <f t="shared" si="13"/>
        <v>0</v>
      </c>
      <c r="V45" s="52">
        <f>T45*1.043</f>
        <v>0</v>
      </c>
    </row>
    <row r="46" spans="1:22" s="27" customFormat="1" ht="15.6" hidden="1" outlineLevel="1" x14ac:dyDescent="0.25">
      <c r="A46" s="30"/>
      <c r="B46" s="31" t="s">
        <v>83</v>
      </c>
      <c r="C46" s="53" t="s">
        <v>76</v>
      </c>
      <c r="D46" s="55">
        <v>8.0000000000000002E-3</v>
      </c>
      <c r="E46" s="55">
        <v>2.3999999999999998E-3</v>
      </c>
      <c r="F46" s="55">
        <v>0</v>
      </c>
      <c r="G46" s="49">
        <f t="shared" si="11"/>
        <v>0</v>
      </c>
      <c r="H46" s="50">
        <v>0</v>
      </c>
      <c r="I46" s="50"/>
      <c r="J46" s="50"/>
      <c r="K46" s="50"/>
      <c r="L46" s="50"/>
      <c r="M46" s="50"/>
      <c r="N46" s="50"/>
      <c r="O46" s="50"/>
      <c r="P46" s="50"/>
      <c r="Q46" s="50"/>
      <c r="R46" s="50"/>
      <c r="S46" s="51">
        <f t="shared" si="12"/>
        <v>0</v>
      </c>
      <c r="T46" s="51">
        <f>R46*1.043</f>
        <v>0</v>
      </c>
      <c r="U46" s="51">
        <f t="shared" si="13"/>
        <v>0</v>
      </c>
      <c r="V46" s="52">
        <f>T46*1.043</f>
        <v>0</v>
      </c>
    </row>
    <row r="47" spans="1:22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14">D48+D52</f>
        <v>14062</v>
      </c>
      <c r="E47" s="33">
        <f t="shared" si="14"/>
        <v>11445.2</v>
      </c>
      <c r="F47" s="33">
        <f t="shared" si="14"/>
        <v>9483</v>
      </c>
      <c r="G47" s="28">
        <f t="shared" si="14"/>
        <v>10026.220000000001</v>
      </c>
      <c r="H47" s="33">
        <v>10507.478560000003</v>
      </c>
      <c r="I47" s="33">
        <f t="shared" ref="I47:P47" si="15">I48+I50+I51+I52</f>
        <v>10062</v>
      </c>
      <c r="J47" s="33">
        <f t="shared" si="15"/>
        <v>6119.5</v>
      </c>
      <c r="K47" s="33">
        <f t="shared" si="15"/>
        <v>6686.4369999999999</v>
      </c>
      <c r="L47" s="33">
        <f t="shared" si="15"/>
        <v>5879.45</v>
      </c>
      <c r="M47" s="33">
        <f t="shared" si="15"/>
        <v>0</v>
      </c>
      <c r="N47" s="33">
        <f t="shared" si="15"/>
        <v>0</v>
      </c>
      <c r="O47" s="33">
        <v>0</v>
      </c>
      <c r="P47" s="33">
        <f t="shared" si="15"/>
        <v>0</v>
      </c>
      <c r="Q47" s="33">
        <f>Q48+Q50+Q51+Q52</f>
        <v>2200</v>
      </c>
      <c r="R47" s="33">
        <f t="shared" ref="R47:V47" si="16">R48+R50+R51+R52</f>
        <v>2651</v>
      </c>
      <c r="S47" s="33">
        <f t="shared" si="16"/>
        <v>2200</v>
      </c>
      <c r="T47" s="33">
        <f t="shared" si="16"/>
        <v>2676.6219999999998</v>
      </c>
      <c r="U47" s="33">
        <f t="shared" si="16"/>
        <v>2200</v>
      </c>
      <c r="V47" s="46">
        <f t="shared" si="16"/>
        <v>2726.6462219999994</v>
      </c>
    </row>
    <row r="48" spans="1:22" s="27" customFormat="1" ht="15.6" x14ac:dyDescent="0.25">
      <c r="A48" s="30"/>
      <c r="B48" s="31" t="s">
        <v>85</v>
      </c>
      <c r="C48" s="53" t="s">
        <v>31</v>
      </c>
      <c r="D48" s="54">
        <f>D49+D50+D51</f>
        <v>7873.48</v>
      </c>
      <c r="E48" s="54">
        <v>3765.2</v>
      </c>
      <c r="F48" s="54">
        <v>1350</v>
      </c>
      <c r="G48" s="42">
        <f t="shared" ref="G48:H48" si="17">G49+G51</f>
        <v>1079.92</v>
      </c>
      <c r="H48" s="54">
        <f t="shared" si="17"/>
        <v>1131.7561600000001</v>
      </c>
      <c r="I48" s="54">
        <f>I39*350</f>
        <v>1050</v>
      </c>
      <c r="J48" s="54">
        <f>J36*350</f>
        <v>1403.5</v>
      </c>
      <c r="K48" s="54">
        <f>K36*350</f>
        <v>1085</v>
      </c>
      <c r="L48" s="54">
        <f>L36*390</f>
        <v>975</v>
      </c>
      <c r="M48" s="54">
        <v>0</v>
      </c>
      <c r="N48" s="54">
        <v>0</v>
      </c>
      <c r="O48" s="54">
        <v>0</v>
      </c>
      <c r="P48" s="54">
        <v>0</v>
      </c>
      <c r="Q48" s="54">
        <v>0</v>
      </c>
      <c r="R48" s="54">
        <v>429</v>
      </c>
      <c r="S48" s="54">
        <v>0</v>
      </c>
      <c r="T48" s="54">
        <v>452.4</v>
      </c>
      <c r="U48" s="54">
        <f>S48*1.05</f>
        <v>0</v>
      </c>
      <c r="V48" s="56">
        <v>500.2</v>
      </c>
    </row>
    <row r="49" spans="1:23" s="27" customFormat="1" ht="15.6" hidden="1" outlineLevel="1" x14ac:dyDescent="0.25">
      <c r="A49" s="30"/>
      <c r="B49" s="31" t="s">
        <v>82</v>
      </c>
      <c r="C49" s="53" t="s">
        <v>31</v>
      </c>
      <c r="D49" s="54">
        <v>7751.24</v>
      </c>
      <c r="E49" s="54">
        <v>3758.3</v>
      </c>
      <c r="F49" s="54">
        <v>1346.7</v>
      </c>
      <c r="G49" s="42">
        <f>F49*0.8</f>
        <v>1077.3600000000001</v>
      </c>
      <c r="H49" s="54">
        <v>1129.0732800000001</v>
      </c>
      <c r="I49" s="54">
        <v>0</v>
      </c>
      <c r="J49" s="54"/>
      <c r="K49" s="54">
        <v>0</v>
      </c>
      <c r="L49" s="54"/>
      <c r="M49" s="54"/>
      <c r="N49" s="54">
        <v>0</v>
      </c>
      <c r="O49" s="54">
        <v>0</v>
      </c>
      <c r="P49" s="54">
        <v>0</v>
      </c>
      <c r="Q49" s="54">
        <v>0</v>
      </c>
      <c r="R49" s="54">
        <f>R36*0.35</f>
        <v>0.38500000000000001</v>
      </c>
      <c r="S49" s="54">
        <f t="shared" ref="S49:S51" si="18">Q49*1.015</f>
        <v>0</v>
      </c>
      <c r="T49" s="54">
        <f>R49*1.03</f>
        <v>0.39655000000000001</v>
      </c>
      <c r="U49" s="54">
        <f t="shared" ref="U49:V51" si="19">S49*1.017</f>
        <v>0</v>
      </c>
      <c r="V49" s="56">
        <f>T49*1.04</f>
        <v>0.412412</v>
      </c>
    </row>
    <row r="50" spans="1:23" s="27" customFormat="1" ht="15.6" hidden="1" outlineLevel="1" x14ac:dyDescent="0.25">
      <c r="A50" s="30"/>
      <c r="B50" s="31" t="s">
        <v>74</v>
      </c>
      <c r="C50" s="53" t="s">
        <v>31</v>
      </c>
      <c r="D50" s="54">
        <v>92.63</v>
      </c>
      <c r="E50" s="54">
        <v>0</v>
      </c>
      <c r="F50" s="54">
        <v>0</v>
      </c>
      <c r="G50" s="42">
        <f>F50*0.95</f>
        <v>0</v>
      </c>
      <c r="H50" s="54">
        <v>0</v>
      </c>
      <c r="I50" s="54">
        <v>0</v>
      </c>
      <c r="J50" s="54"/>
      <c r="K50" s="54">
        <v>0</v>
      </c>
      <c r="L50" s="54"/>
      <c r="M50" s="54"/>
      <c r="N50" s="54">
        <v>0</v>
      </c>
      <c r="O50" s="54">
        <v>0</v>
      </c>
      <c r="P50" s="54">
        <v>0</v>
      </c>
      <c r="Q50" s="54">
        <v>0</v>
      </c>
      <c r="R50" s="54">
        <v>0</v>
      </c>
      <c r="S50" s="54">
        <f t="shared" si="18"/>
        <v>0</v>
      </c>
      <c r="T50" s="54">
        <f t="shared" ref="T50:T51" si="20">R50*1.02</f>
        <v>0</v>
      </c>
      <c r="U50" s="54">
        <f t="shared" si="19"/>
        <v>0</v>
      </c>
      <c r="V50" s="56">
        <f t="shared" si="19"/>
        <v>0</v>
      </c>
    </row>
    <row r="51" spans="1:23" s="27" customFormat="1" ht="15.6" hidden="1" outlineLevel="1" x14ac:dyDescent="0.25">
      <c r="A51" s="30"/>
      <c r="B51" s="31" t="s">
        <v>83</v>
      </c>
      <c r="C51" s="53" t="s">
        <v>31</v>
      </c>
      <c r="D51" s="54">
        <v>29.61</v>
      </c>
      <c r="E51" s="54">
        <v>6.9</v>
      </c>
      <c r="F51" s="54">
        <v>3.2</v>
      </c>
      <c r="G51" s="42">
        <f>F51*0.8</f>
        <v>2.5600000000000005</v>
      </c>
      <c r="H51" s="54">
        <v>2.6828800000000008</v>
      </c>
      <c r="I51" s="54">
        <v>0</v>
      </c>
      <c r="J51" s="54"/>
      <c r="K51" s="54">
        <v>0</v>
      </c>
      <c r="L51" s="54"/>
      <c r="M51" s="54"/>
      <c r="N51" s="54">
        <v>0</v>
      </c>
      <c r="O51" s="54">
        <v>0</v>
      </c>
      <c r="P51" s="54">
        <v>0</v>
      </c>
      <c r="Q51" s="54">
        <v>0</v>
      </c>
      <c r="R51" s="54">
        <v>0</v>
      </c>
      <c r="S51" s="54">
        <f t="shared" si="18"/>
        <v>0</v>
      </c>
      <c r="T51" s="54">
        <f t="shared" si="20"/>
        <v>0</v>
      </c>
      <c r="U51" s="54">
        <f t="shared" si="19"/>
        <v>0</v>
      </c>
      <c r="V51" s="56">
        <f t="shared" si="19"/>
        <v>0</v>
      </c>
    </row>
    <row r="52" spans="1:23" s="27" customFormat="1" ht="15.6" collapsed="1" x14ac:dyDescent="0.25">
      <c r="A52" s="30"/>
      <c r="B52" s="31" t="s">
        <v>86</v>
      </c>
      <c r="C52" s="53" t="s">
        <v>31</v>
      </c>
      <c r="D52" s="54">
        <v>6188.52</v>
      </c>
      <c r="E52" s="54">
        <v>7680</v>
      </c>
      <c r="F52" s="54">
        <v>8133</v>
      </c>
      <c r="G52" s="42">
        <f>F52*1.1</f>
        <v>8946.3000000000011</v>
      </c>
      <c r="H52" s="57">
        <v>9375.7224000000024</v>
      </c>
      <c r="I52" s="57">
        <f>I28*40</f>
        <v>9012</v>
      </c>
      <c r="J52" s="57">
        <v>4716</v>
      </c>
      <c r="K52" s="54">
        <v>5601.4369999999999</v>
      </c>
      <c r="L52" s="54">
        <v>4904.45</v>
      </c>
      <c r="M52" s="54">
        <v>0</v>
      </c>
      <c r="N52" s="54">
        <v>0</v>
      </c>
      <c r="O52" s="54">
        <v>0</v>
      </c>
      <c r="P52" s="54">
        <v>0</v>
      </c>
      <c r="Q52" s="57">
        <v>2200</v>
      </c>
      <c r="R52" s="54">
        <f>Q52*1.01</f>
        <v>2222</v>
      </c>
      <c r="S52" s="54">
        <v>2200</v>
      </c>
      <c r="T52" s="54">
        <f>R52*1.001</f>
        <v>2224.2219999999998</v>
      </c>
      <c r="U52" s="54">
        <f>S52</f>
        <v>2200</v>
      </c>
      <c r="V52" s="56">
        <f>T52*1.001</f>
        <v>2226.4462219999996</v>
      </c>
    </row>
    <row r="53" spans="1:23" s="27" customFormat="1" ht="15.6" x14ac:dyDescent="0.25">
      <c r="A53" s="47" t="s">
        <v>87</v>
      </c>
      <c r="B53" s="58" t="s">
        <v>88</v>
      </c>
      <c r="C53" s="24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60"/>
      <c r="Q53" s="59"/>
      <c r="R53" s="59"/>
      <c r="S53" s="59"/>
      <c r="T53" s="59"/>
      <c r="U53" s="59"/>
      <c r="V53" s="61"/>
    </row>
    <row r="54" spans="1:23" s="27" customFormat="1" ht="15.6" x14ac:dyDescent="0.25">
      <c r="A54" s="22" t="s">
        <v>29</v>
      </c>
      <c r="B54" s="62" t="s">
        <v>89</v>
      </c>
      <c r="C54" s="24" t="s">
        <v>90</v>
      </c>
      <c r="D54" s="49">
        <f>4.9*1.0014</f>
        <v>4.9068600000000009</v>
      </c>
      <c r="E54" s="49">
        <v>4.2729999999999997</v>
      </c>
      <c r="F54" s="49">
        <v>4.2880000000000003</v>
      </c>
      <c r="G54" s="49">
        <v>4.1239999999999997</v>
      </c>
      <c r="H54" s="49">
        <v>3.5590000000000002</v>
      </c>
      <c r="I54" s="49">
        <v>3.5830000000000002</v>
      </c>
      <c r="J54" s="49">
        <v>3.548</v>
      </c>
      <c r="K54" s="49">
        <v>3.4809999999999999</v>
      </c>
      <c r="L54" s="49">
        <v>3.548</v>
      </c>
      <c r="M54" s="49">
        <v>3.5339999999999998</v>
      </c>
      <c r="N54" s="49">
        <v>3.3330000000000002</v>
      </c>
      <c r="O54" s="49">
        <v>3.5339999999999998</v>
      </c>
      <c r="P54" s="63">
        <v>3.302</v>
      </c>
      <c r="Q54" s="49">
        <f>P54*100%</f>
        <v>3.302</v>
      </c>
      <c r="R54" s="49">
        <f>P54*99%</f>
        <v>3.26898</v>
      </c>
      <c r="S54" s="49">
        <f>Q54*100.3%</f>
        <v>3.3119059999999996</v>
      </c>
      <c r="T54" s="49">
        <f>R54*100%</f>
        <v>3.26898</v>
      </c>
      <c r="U54" s="49">
        <f>S54*100.3%</f>
        <v>3.3218417179999991</v>
      </c>
      <c r="V54" s="64">
        <f>T54*100.2%</f>
        <v>3.2755179600000002</v>
      </c>
    </row>
    <row r="55" spans="1:23" s="27" customFormat="1" ht="15.6" x14ac:dyDescent="0.25">
      <c r="A55" s="22" t="s">
        <v>51</v>
      </c>
      <c r="B55" s="62" t="s">
        <v>91</v>
      </c>
      <c r="C55" s="24" t="s">
        <v>90</v>
      </c>
      <c r="D55" s="49"/>
      <c r="E55" s="49"/>
      <c r="F55" s="49"/>
      <c r="G55" s="49">
        <v>0.215</v>
      </c>
      <c r="H55" s="49">
        <v>0.185</v>
      </c>
      <c r="I55" s="49">
        <v>0.14399999999999999</v>
      </c>
      <c r="J55" s="49">
        <v>0.20799999999999999</v>
      </c>
      <c r="K55" s="49">
        <v>0.20799999999999999</v>
      </c>
      <c r="L55" s="49">
        <v>0.26400000000000001</v>
      </c>
      <c r="M55" s="49">
        <v>0.26400000000000001</v>
      </c>
      <c r="N55" s="49">
        <v>0.20799999999999999</v>
      </c>
      <c r="O55" s="49">
        <v>0.20799999999999999</v>
      </c>
      <c r="P55" s="49">
        <v>0.21</v>
      </c>
      <c r="Q55" s="49">
        <v>0.20499999999999999</v>
      </c>
      <c r="R55" s="49">
        <v>0.215</v>
      </c>
      <c r="S55" s="49">
        <f t="shared" ref="S55:V56" si="21">Q55*100.8%</f>
        <v>0.20663999999999999</v>
      </c>
      <c r="T55" s="49">
        <f t="shared" si="21"/>
        <v>0.21672</v>
      </c>
      <c r="U55" s="49">
        <f t="shared" si="21"/>
        <v>0.20829312</v>
      </c>
      <c r="V55" s="64">
        <f t="shared" si="21"/>
        <v>0.21845376</v>
      </c>
    </row>
    <row r="56" spans="1:23" s="27" customFormat="1" ht="15.6" x14ac:dyDescent="0.25">
      <c r="A56" s="22" t="s">
        <v>58</v>
      </c>
      <c r="B56" s="62" t="s">
        <v>92</v>
      </c>
      <c r="C56" s="24" t="s">
        <v>90</v>
      </c>
      <c r="D56" s="49"/>
      <c r="E56" s="49"/>
      <c r="F56" s="49"/>
      <c r="G56" s="49">
        <v>0.123</v>
      </c>
      <c r="H56" s="49">
        <v>0.27200000000000002</v>
      </c>
      <c r="I56" s="49">
        <v>0.20499999999999999</v>
      </c>
      <c r="J56" s="49">
        <v>0.27600000000000002</v>
      </c>
      <c r="K56" s="49">
        <v>0.26400000000000001</v>
      </c>
      <c r="L56" s="49">
        <v>0.20699999999999999</v>
      </c>
      <c r="M56" s="49">
        <v>0.20699999999999999</v>
      </c>
      <c r="N56" s="49">
        <v>0.19500000000000001</v>
      </c>
      <c r="O56" s="49">
        <v>0.19500000000000001</v>
      </c>
      <c r="P56" s="49">
        <v>0.20899999999999999</v>
      </c>
      <c r="Q56" s="49">
        <f>P56*100.5%</f>
        <v>0.21004499999999998</v>
      </c>
      <c r="R56" s="49">
        <f>P56*100.5%</f>
        <v>0.21004499999999998</v>
      </c>
      <c r="S56" s="49">
        <f t="shared" si="21"/>
        <v>0.21172535999999997</v>
      </c>
      <c r="T56" s="49">
        <f t="shared" si="21"/>
        <v>0.21172535999999997</v>
      </c>
      <c r="U56" s="49">
        <f t="shared" si="21"/>
        <v>0.21341916287999999</v>
      </c>
      <c r="V56" s="64">
        <f t="shared" si="21"/>
        <v>0.21341916287999999</v>
      </c>
      <c r="W56" s="27">
        <v>0.16</v>
      </c>
    </row>
    <row r="57" spans="1:23" s="27" customFormat="1" ht="15.6" x14ac:dyDescent="0.25">
      <c r="A57" s="22" t="s">
        <v>61</v>
      </c>
      <c r="B57" s="62" t="s">
        <v>93</v>
      </c>
      <c r="C57" s="24" t="s">
        <v>90</v>
      </c>
      <c r="D57" s="49"/>
      <c r="E57" s="49"/>
      <c r="F57" s="49"/>
      <c r="G57" s="49">
        <v>9.1999999999999998E-2</v>
      </c>
      <c r="H57" s="49">
        <v>-8.6999999999999994E-2</v>
      </c>
      <c r="I57" s="49">
        <v>-6.0999999999999999E-2</v>
      </c>
      <c r="J57" s="49">
        <v>-6.8000000000000005E-2</v>
      </c>
      <c r="K57" s="49">
        <v>-6.7000000000000004E-2</v>
      </c>
      <c r="L57" s="49">
        <f>L55-L56</f>
        <v>5.7000000000000023E-2</v>
      </c>
      <c r="M57" s="49">
        <v>5.7000000000000023E-2</v>
      </c>
      <c r="N57" s="65">
        <f>N55-N56</f>
        <v>1.2999999999999984E-2</v>
      </c>
      <c r="O57" s="65">
        <v>1.2999999999999984E-2</v>
      </c>
      <c r="P57" s="63">
        <f>P55-P56</f>
        <v>1.0000000000000009E-3</v>
      </c>
      <c r="Q57" s="49">
        <f>Q55-Q56</f>
        <v>-5.0449999999999939E-3</v>
      </c>
      <c r="R57" s="49">
        <f t="shared" ref="R57:V57" si="22">R55-R56</f>
        <v>4.9550000000000149E-3</v>
      </c>
      <c r="S57" s="49">
        <f t="shared" si="22"/>
        <v>-5.0853599999999832E-3</v>
      </c>
      <c r="T57" s="49">
        <f t="shared" si="22"/>
        <v>4.9946400000000224E-3</v>
      </c>
      <c r="U57" s="49">
        <f t="shared" si="22"/>
        <v>-5.1260428799999869E-3</v>
      </c>
      <c r="V57" s="64">
        <f t="shared" si="22"/>
        <v>5.0345971200000117E-3</v>
      </c>
    </row>
    <row r="58" spans="1:23" s="27" customFormat="1" ht="15.6" x14ac:dyDescent="0.25">
      <c r="A58" s="22" t="s">
        <v>63</v>
      </c>
      <c r="B58" s="62" t="s">
        <v>94</v>
      </c>
      <c r="C58" s="24" t="s">
        <v>90</v>
      </c>
      <c r="D58" s="49"/>
      <c r="E58" s="49"/>
      <c r="F58" s="49"/>
      <c r="G58" s="49">
        <v>0.02</v>
      </c>
      <c r="H58" s="49">
        <v>0.02</v>
      </c>
      <c r="I58" s="49">
        <v>3.4000000000000002E-2</v>
      </c>
      <c r="J58" s="49">
        <v>3.3000000000000002E-2</v>
      </c>
      <c r="K58" s="49">
        <v>1.0999999999999999E-2</v>
      </c>
      <c r="L58" s="49">
        <v>8.9999999999999993E-3</v>
      </c>
      <c r="M58" s="49">
        <v>1.7000000000000001E-2</v>
      </c>
      <c r="N58" s="65">
        <v>-3.0000000000000001E-3</v>
      </c>
      <c r="O58" s="65">
        <v>0.02</v>
      </c>
      <c r="P58" s="65">
        <v>1.7000000000000001E-2</v>
      </c>
      <c r="Q58" s="65">
        <v>1.2999999999999999E-2</v>
      </c>
      <c r="R58" s="65">
        <v>1.4999999999999999E-2</v>
      </c>
      <c r="S58" s="65">
        <v>1.4E-2</v>
      </c>
      <c r="T58" s="65">
        <v>1.6E-2</v>
      </c>
      <c r="U58" s="65">
        <v>1.4999999999999999E-2</v>
      </c>
      <c r="V58" s="66">
        <v>1.7999999999999999E-2</v>
      </c>
    </row>
    <row r="59" spans="1:23" s="27" customFormat="1" ht="15.6" x14ac:dyDescent="0.25">
      <c r="A59" s="47" t="s">
        <v>95</v>
      </c>
      <c r="B59" s="58" t="s">
        <v>96</v>
      </c>
      <c r="C59" s="24"/>
      <c r="D59" s="59">
        <f t="shared" ref="D59:F59" si="23">D60+D61</f>
        <v>3.3200000000000003</v>
      </c>
      <c r="E59" s="59">
        <f t="shared" si="23"/>
        <v>3.3140000000000001</v>
      </c>
      <c r="F59" s="59">
        <f t="shared" si="23"/>
        <v>3.319</v>
      </c>
      <c r="G59" s="59"/>
      <c r="H59" s="59"/>
      <c r="I59" s="59"/>
      <c r="J59" s="59"/>
      <c r="K59" s="59"/>
      <c r="L59" s="59"/>
      <c r="M59" s="59"/>
      <c r="N59" s="59"/>
      <c r="O59" s="59"/>
      <c r="P59" s="60"/>
      <c r="Q59" s="59"/>
      <c r="R59" s="59"/>
      <c r="S59" s="67"/>
      <c r="T59" s="67"/>
      <c r="U59" s="67"/>
      <c r="V59" s="68"/>
    </row>
    <row r="60" spans="1:23" s="27" customFormat="1" ht="15.6" x14ac:dyDescent="0.25">
      <c r="A60" s="22" t="s">
        <v>29</v>
      </c>
      <c r="B60" s="62" t="s">
        <v>97</v>
      </c>
      <c r="C60" s="24" t="s">
        <v>90</v>
      </c>
      <c r="D60" s="49">
        <v>3.2440000000000002</v>
      </c>
      <c r="E60" s="49">
        <v>3.2690000000000001</v>
      </c>
      <c r="F60" s="49">
        <v>3.274</v>
      </c>
      <c r="G60" s="49">
        <v>3.1869999999999998</v>
      </c>
      <c r="H60" s="49">
        <v>3.274</v>
      </c>
      <c r="I60" s="49">
        <v>3.1269999999999998</v>
      </c>
      <c r="J60" s="65">
        <v>2.21</v>
      </c>
      <c r="K60" s="65">
        <v>2.2629999999999999</v>
      </c>
      <c r="L60" s="65">
        <v>1.7869999999999999</v>
      </c>
      <c r="M60" s="65">
        <v>1.7430000000000001</v>
      </c>
      <c r="N60" s="65">
        <v>1.9870000000000001</v>
      </c>
      <c r="O60" s="65">
        <v>1.7430000000000001</v>
      </c>
      <c r="P60" s="65">
        <v>1.9810000000000001</v>
      </c>
      <c r="Q60" s="65">
        <f>P60*1.005</f>
        <v>1.9909049999999999</v>
      </c>
      <c r="R60" s="65">
        <v>1.915</v>
      </c>
      <c r="S60" s="65">
        <f>Q60*1.003</f>
        <v>1.9968777149999997</v>
      </c>
      <c r="T60" s="65">
        <f>R60*1.01</f>
        <v>1.93415</v>
      </c>
      <c r="U60" s="65">
        <f>S60*1.005</f>
        <v>2.0068621035749996</v>
      </c>
      <c r="V60" s="66">
        <f>T60*1.001</f>
        <v>1.9360841499999999</v>
      </c>
    </row>
    <row r="61" spans="1:23" s="27" customFormat="1" ht="31.2" x14ac:dyDescent="0.25">
      <c r="A61" s="22" t="s">
        <v>51</v>
      </c>
      <c r="B61" s="62" t="s">
        <v>98</v>
      </c>
      <c r="C61" s="24" t="s">
        <v>90</v>
      </c>
      <c r="D61" s="49">
        <v>7.5999999999999998E-2</v>
      </c>
      <c r="E61" s="49">
        <v>4.4999999999999998E-2</v>
      </c>
      <c r="F61" s="49">
        <v>4.4999999999999998E-2</v>
      </c>
      <c r="G61" s="49">
        <v>2.5999999999999999E-2</v>
      </c>
      <c r="H61" s="49">
        <v>0.03</v>
      </c>
      <c r="I61" s="49">
        <v>2.5999999999999999E-2</v>
      </c>
      <c r="J61" s="49">
        <v>2.3E-2</v>
      </c>
      <c r="K61" s="49">
        <v>1.7999999999999999E-2</v>
      </c>
      <c r="L61" s="49">
        <v>7.3999999999999996E-2</v>
      </c>
      <c r="M61" s="49">
        <v>2.3E-2</v>
      </c>
      <c r="N61" s="65">
        <v>2.3E-2</v>
      </c>
      <c r="O61" s="65">
        <v>1.7000000000000001E-2</v>
      </c>
      <c r="P61" s="65">
        <v>1.4E-2</v>
      </c>
      <c r="Q61" s="65">
        <v>2.8000000000000001E-2</v>
      </c>
      <c r="R61" s="65">
        <f>P61*104.6%</f>
        <v>1.4644000000000001E-2</v>
      </c>
      <c r="S61" s="65">
        <f>Q61*1.003</f>
        <v>2.8083999999999998E-2</v>
      </c>
      <c r="T61" s="65">
        <f>R61*1</f>
        <v>1.4644000000000001E-2</v>
      </c>
      <c r="U61" s="65">
        <f>S61*1.005</f>
        <v>2.8224419999999993E-2</v>
      </c>
      <c r="V61" s="66">
        <f>T61*1.001</f>
        <v>1.4658643999999998E-2</v>
      </c>
    </row>
    <row r="62" spans="1:23" s="27" customFormat="1" ht="15.6" x14ac:dyDescent="0.25">
      <c r="A62" s="22" t="s">
        <v>58</v>
      </c>
      <c r="B62" s="62" t="s">
        <v>99</v>
      </c>
      <c r="C62" s="24" t="s">
        <v>100</v>
      </c>
      <c r="D62" s="49"/>
      <c r="E62" s="49"/>
      <c r="F62" s="49"/>
      <c r="G62" s="49">
        <v>1440.23</v>
      </c>
      <c r="H62" s="49">
        <v>1495.85</v>
      </c>
      <c r="I62" s="49">
        <v>1741.2260000000001</v>
      </c>
      <c r="J62" s="49">
        <v>2002.41</v>
      </c>
      <c r="K62" s="49">
        <v>2031.431</v>
      </c>
      <c r="L62" s="65">
        <v>1950.0329999999999</v>
      </c>
      <c r="M62" s="65">
        <v>2109.1550000000002</v>
      </c>
      <c r="N62" s="65">
        <f>2193.521/12*12</f>
        <v>2193.5210000000002</v>
      </c>
      <c r="O62" s="65">
        <v>1645.14075</v>
      </c>
      <c r="P62" s="65">
        <v>2220.549</v>
      </c>
      <c r="Q62" s="65">
        <f>N62*103%</f>
        <v>2259.32663</v>
      </c>
      <c r="R62" s="65">
        <f>P62*103%</f>
        <v>2287.1654699999999</v>
      </c>
      <c r="S62" s="65">
        <f>Q62*103.3%</f>
        <v>2333.8844087899997</v>
      </c>
      <c r="T62" s="65">
        <f>R62*103.7%</f>
        <v>2371.7905923899998</v>
      </c>
      <c r="U62" s="65">
        <f>S62*103.7%</f>
        <v>2420.2381319152296</v>
      </c>
      <c r="V62" s="66">
        <f>T62*102%</f>
        <v>2419.2264042377997</v>
      </c>
    </row>
    <row r="63" spans="1:23" s="27" customFormat="1" ht="15.6" x14ac:dyDescent="0.25">
      <c r="A63" s="22" t="s">
        <v>61</v>
      </c>
      <c r="B63" s="62" t="s">
        <v>101</v>
      </c>
      <c r="C63" s="24" t="s">
        <v>100</v>
      </c>
      <c r="D63" s="49"/>
      <c r="E63" s="49"/>
      <c r="F63" s="49"/>
      <c r="G63" s="49"/>
      <c r="H63" s="49"/>
      <c r="I63" s="49"/>
      <c r="J63" s="49">
        <v>1413.8340000000001</v>
      </c>
      <c r="K63" s="49">
        <v>1500.8579999999999</v>
      </c>
      <c r="L63" s="49">
        <v>1233.2329999999999</v>
      </c>
      <c r="M63" s="49">
        <v>1331.8920000000001</v>
      </c>
      <c r="N63" s="49">
        <v>1531.6759999999999</v>
      </c>
      <c r="O63" s="49">
        <v>1038.876</v>
      </c>
      <c r="P63" s="49">
        <v>1731.46</v>
      </c>
      <c r="Q63" s="65">
        <f>P63*102.3%</f>
        <v>1771.2835799999998</v>
      </c>
      <c r="R63" s="65">
        <f>P63*103%</f>
        <v>1783.4038</v>
      </c>
      <c r="S63" s="65">
        <f>Q63*102.3%</f>
        <v>1812.0231023399997</v>
      </c>
      <c r="T63" s="65">
        <f>R63*103.7%</f>
        <v>1849.3897405999999</v>
      </c>
      <c r="U63" s="65">
        <f>S63*102.5%</f>
        <v>1857.3236798984994</v>
      </c>
      <c r="V63" s="66">
        <f>T63*102%</f>
        <v>1886.3775354119998</v>
      </c>
    </row>
    <row r="64" spans="1:23" s="27" customFormat="1" ht="15.6" x14ac:dyDescent="0.25">
      <c r="A64" s="22" t="s">
        <v>63</v>
      </c>
      <c r="B64" s="62" t="s">
        <v>102</v>
      </c>
      <c r="C64" s="24" t="s">
        <v>103</v>
      </c>
      <c r="D64" s="49"/>
      <c r="E64" s="49"/>
      <c r="F64" s="49"/>
      <c r="G64" s="49">
        <v>37.658999999999999</v>
      </c>
      <c r="H64" s="49">
        <v>38.073999999999998</v>
      </c>
      <c r="I64" s="49">
        <v>46.402999999999999</v>
      </c>
      <c r="J64" s="49">
        <v>53.311999999999998</v>
      </c>
      <c r="K64" s="49">
        <f>K63/K60/12</f>
        <v>55.268007070260715</v>
      </c>
      <c r="L64" s="49">
        <v>57.526000000000003</v>
      </c>
      <c r="M64" s="49">
        <v>62.499000000000002</v>
      </c>
      <c r="N64" s="65">
        <v>63.915999999999997</v>
      </c>
      <c r="O64" s="65">
        <v>66.225282080703764</v>
      </c>
      <c r="P64" s="65">
        <f>P63/P60/12</f>
        <v>72.836109708901219</v>
      </c>
      <c r="Q64" s="65">
        <f>Q63/Q60/12</f>
        <v>74.140637046971094</v>
      </c>
      <c r="R64" s="65">
        <f>R63/R60/12</f>
        <v>77.606779808529154</v>
      </c>
      <c r="S64" s="65">
        <f t="shared" ref="S64:V64" si="24">S63/S60/12</f>
        <v>75.619014655086175</v>
      </c>
      <c r="T64" s="65">
        <f t="shared" si="24"/>
        <v>79.681416496479926</v>
      </c>
      <c r="U64" s="65">
        <f t="shared" si="24"/>
        <v>77.123870668122706</v>
      </c>
      <c r="V64" s="66">
        <f t="shared" si="24"/>
        <v>81.193850975434103</v>
      </c>
    </row>
    <row r="65" spans="1:22" s="27" customFormat="1" ht="15.6" x14ac:dyDescent="0.25">
      <c r="A65" s="47" t="s">
        <v>104</v>
      </c>
      <c r="B65" s="69" t="s">
        <v>105</v>
      </c>
      <c r="C65" s="70"/>
      <c r="D65" s="49"/>
      <c r="E65" s="49"/>
      <c r="F65" s="49"/>
      <c r="G65" s="49"/>
      <c r="H65" s="49"/>
      <c r="I65" s="49"/>
      <c r="J65" s="49">
        <v>53.311999999999998</v>
      </c>
      <c r="K65" s="49">
        <v>55.268000000000001</v>
      </c>
      <c r="L65" s="49"/>
      <c r="M65" s="49"/>
      <c r="N65" s="49"/>
      <c r="O65" s="49"/>
      <c r="P65" s="71"/>
      <c r="Q65" s="49"/>
      <c r="R65" s="49"/>
      <c r="S65" s="49"/>
      <c r="T65" s="49"/>
      <c r="U65" s="49"/>
      <c r="V65" s="64"/>
    </row>
    <row r="66" spans="1:22" s="77" customFormat="1" ht="15.6" x14ac:dyDescent="0.25">
      <c r="A66" s="72" t="s">
        <v>29</v>
      </c>
      <c r="B66" s="73" t="s">
        <v>106</v>
      </c>
      <c r="C66" s="74" t="s">
        <v>107</v>
      </c>
      <c r="D66" s="75"/>
      <c r="E66" s="75"/>
      <c r="F66" s="75"/>
      <c r="G66" s="75"/>
      <c r="H66" s="75"/>
      <c r="I66" s="75">
        <f>I67+I75</f>
        <v>130.608</v>
      </c>
      <c r="J66" s="75">
        <f t="shared" ref="J66:V66" si="25">J67+J75</f>
        <v>128.39699999999999</v>
      </c>
      <c r="K66" s="75">
        <f t="shared" si="25"/>
        <v>119.50700000000001</v>
      </c>
      <c r="L66" s="75">
        <f t="shared" si="25"/>
        <v>130.50700000000001</v>
      </c>
      <c r="M66" s="75">
        <f t="shared" si="25"/>
        <v>119.31</v>
      </c>
      <c r="N66" s="75">
        <f t="shared" si="25"/>
        <v>136.86599999999999</v>
      </c>
      <c r="O66" s="63">
        <f t="shared" si="25"/>
        <v>109.21000000000001</v>
      </c>
      <c r="P66" s="75">
        <f t="shared" si="25"/>
        <v>151.309</v>
      </c>
      <c r="Q66" s="75">
        <f t="shared" si="25"/>
        <v>75.500999999999991</v>
      </c>
      <c r="R66" s="75">
        <f t="shared" si="25"/>
        <v>116.68299999999999</v>
      </c>
      <c r="S66" s="75">
        <f t="shared" si="25"/>
        <v>115.99710000000002</v>
      </c>
      <c r="T66" s="75">
        <f t="shared" si="25"/>
        <v>90.016999999999996</v>
      </c>
      <c r="U66" s="75">
        <f t="shared" si="25"/>
        <v>77.78843169999999</v>
      </c>
      <c r="V66" s="76">
        <f t="shared" si="25"/>
        <v>90.093999999999994</v>
      </c>
    </row>
    <row r="67" spans="1:22" s="27" customFormat="1" ht="15.6" x14ac:dyDescent="0.25">
      <c r="A67" s="78" t="s">
        <v>32</v>
      </c>
      <c r="B67" s="79" t="s">
        <v>108</v>
      </c>
      <c r="C67" s="80" t="s">
        <v>107</v>
      </c>
      <c r="D67" s="49"/>
      <c r="E67" s="49"/>
      <c r="F67" s="49"/>
      <c r="G67" s="49"/>
      <c r="H67" s="49"/>
      <c r="I67" s="49">
        <f>I68+I74</f>
        <v>39.332999999999998</v>
      </c>
      <c r="J67" s="49">
        <f t="shared" ref="J67:V67" si="26">J68+J74</f>
        <v>42.494</v>
      </c>
      <c r="K67" s="65">
        <f t="shared" si="26"/>
        <v>44.304000000000002</v>
      </c>
      <c r="L67" s="65">
        <f t="shared" si="26"/>
        <v>40.704999999999998</v>
      </c>
      <c r="M67" s="65">
        <f t="shared" si="26"/>
        <v>46.585999999999999</v>
      </c>
      <c r="N67" s="65">
        <f t="shared" si="26"/>
        <v>44.086999999999989</v>
      </c>
      <c r="O67" s="65">
        <f t="shared" si="26"/>
        <v>27.811</v>
      </c>
      <c r="P67" s="65">
        <f t="shared" si="26"/>
        <v>50.013000000000005</v>
      </c>
      <c r="Q67" s="65">
        <f t="shared" si="26"/>
        <v>34.366999999999997</v>
      </c>
      <c r="R67" s="65">
        <f t="shared" si="26"/>
        <v>40.518999999999998</v>
      </c>
      <c r="S67" s="65">
        <f t="shared" si="26"/>
        <v>39.071460000000002</v>
      </c>
      <c r="T67" s="65">
        <f t="shared" si="26"/>
        <v>41.326000000000001</v>
      </c>
      <c r="U67" s="65">
        <f t="shared" si="26"/>
        <v>37.273119999999999</v>
      </c>
      <c r="V67" s="66">
        <f t="shared" si="26"/>
        <v>42.034999999999997</v>
      </c>
    </row>
    <row r="68" spans="1:22" s="27" customFormat="1" ht="15.6" x14ac:dyDescent="0.25">
      <c r="A68" s="78" t="s">
        <v>109</v>
      </c>
      <c r="B68" s="31" t="s">
        <v>110</v>
      </c>
      <c r="C68" s="80" t="s">
        <v>107</v>
      </c>
      <c r="D68" s="49"/>
      <c r="E68" s="49"/>
      <c r="F68" s="49"/>
      <c r="G68" s="49"/>
      <c r="H68" s="49"/>
      <c r="I68" s="49">
        <f>SUM(I69:I73)</f>
        <v>30.017999999999997</v>
      </c>
      <c r="J68" s="49">
        <f t="shared" ref="J68:V68" si="27">SUM(J69:J73)</f>
        <v>32.369</v>
      </c>
      <c r="K68" s="65">
        <f t="shared" si="27"/>
        <v>36.539000000000001</v>
      </c>
      <c r="L68" s="65">
        <f t="shared" si="27"/>
        <v>32.738999999999997</v>
      </c>
      <c r="M68" s="65">
        <f t="shared" si="27"/>
        <v>32.241</v>
      </c>
      <c r="N68" s="65">
        <f t="shared" si="27"/>
        <v>33.98899999999999</v>
      </c>
      <c r="O68" s="65">
        <f t="shared" si="27"/>
        <v>21.594999999999999</v>
      </c>
      <c r="P68" s="65">
        <f t="shared" si="27"/>
        <v>38.331000000000003</v>
      </c>
      <c r="Q68" s="65">
        <f t="shared" si="27"/>
        <v>26.584999999999997</v>
      </c>
      <c r="R68" s="65">
        <f t="shared" si="27"/>
        <v>34.518000000000001</v>
      </c>
      <c r="S68" s="65">
        <f t="shared" si="27"/>
        <v>33.683460000000004</v>
      </c>
      <c r="T68" s="65">
        <f t="shared" si="27"/>
        <v>35.213999999999999</v>
      </c>
      <c r="U68" s="65">
        <f t="shared" si="27"/>
        <v>31.831240000000001</v>
      </c>
      <c r="V68" s="66">
        <f t="shared" si="27"/>
        <v>35.786999999999999</v>
      </c>
    </row>
    <row r="69" spans="1:22" s="27" customFormat="1" ht="15.6" x14ac:dyDescent="0.25">
      <c r="A69" s="78"/>
      <c r="B69" s="81" t="s">
        <v>111</v>
      </c>
      <c r="C69" s="80" t="s">
        <v>107</v>
      </c>
      <c r="D69" s="49"/>
      <c r="E69" s="49"/>
      <c r="F69" s="49"/>
      <c r="G69" s="49"/>
      <c r="H69" s="49"/>
      <c r="I69" s="49">
        <v>22.670999999999999</v>
      </c>
      <c r="J69" s="49">
        <v>25.16</v>
      </c>
      <c r="K69" s="65">
        <v>29.074000000000002</v>
      </c>
      <c r="L69" s="65">
        <v>25.425999999999998</v>
      </c>
      <c r="M69" s="65">
        <v>23.117999999999999</v>
      </c>
      <c r="N69" s="65">
        <v>23.766999999999999</v>
      </c>
      <c r="O69" s="65">
        <v>15.811999999999999</v>
      </c>
      <c r="P69" s="65">
        <v>27.579000000000001</v>
      </c>
      <c r="Q69" s="65">
        <v>18.399999999999999</v>
      </c>
      <c r="R69" s="65">
        <v>24</v>
      </c>
      <c r="S69" s="65">
        <f>R69*1.01-0.004</f>
        <v>24.236000000000001</v>
      </c>
      <c r="T69" s="65">
        <v>24.5</v>
      </c>
      <c r="U69" s="65">
        <v>23.33924</v>
      </c>
      <c r="V69" s="66">
        <v>25</v>
      </c>
    </row>
    <row r="70" spans="1:22" s="27" customFormat="1" ht="15.6" x14ac:dyDescent="0.25">
      <c r="A70" s="78"/>
      <c r="B70" s="81" t="s">
        <v>112</v>
      </c>
      <c r="C70" s="80" t="s">
        <v>107</v>
      </c>
      <c r="D70" s="49"/>
      <c r="E70" s="49"/>
      <c r="F70" s="49"/>
      <c r="G70" s="49"/>
      <c r="H70" s="49"/>
      <c r="I70" s="49">
        <v>4.6040000000000001</v>
      </c>
      <c r="J70" s="49">
        <v>4.96</v>
      </c>
      <c r="K70" s="65">
        <v>4.5659999999999998</v>
      </c>
      <c r="L70" s="65">
        <v>4.1849999999999996</v>
      </c>
      <c r="M70" s="65">
        <v>4.7889999999999997</v>
      </c>
      <c r="N70" s="65">
        <v>5.7889999999999997</v>
      </c>
      <c r="O70" s="65">
        <v>4.3150000000000004</v>
      </c>
      <c r="P70" s="65">
        <v>6.1429999999999998</v>
      </c>
      <c r="Q70" s="65">
        <v>5.1619999999999999</v>
      </c>
      <c r="R70" s="65">
        <v>6.1459999999999999</v>
      </c>
      <c r="S70" s="65">
        <f>R70*1.01</f>
        <v>6.2074600000000002</v>
      </c>
      <c r="T70" s="65">
        <v>6.2690000000000001</v>
      </c>
      <c r="U70" s="65">
        <v>5.2520000000000007</v>
      </c>
      <c r="V70" s="66">
        <v>6.2690000000000001</v>
      </c>
    </row>
    <row r="71" spans="1:22" s="27" customFormat="1" ht="15.6" x14ac:dyDescent="0.25">
      <c r="A71" s="78"/>
      <c r="B71" s="81" t="s">
        <v>113</v>
      </c>
      <c r="C71" s="80" t="s">
        <v>107</v>
      </c>
      <c r="D71" s="49"/>
      <c r="E71" s="49"/>
      <c r="F71" s="49"/>
      <c r="G71" s="49"/>
      <c r="H71" s="49"/>
      <c r="I71" s="49">
        <v>0.755</v>
      </c>
      <c r="J71" s="49">
        <v>0.89700000000000002</v>
      </c>
      <c r="K71" s="65">
        <v>1.3129999999999999</v>
      </c>
      <c r="L71" s="65">
        <v>1.5329999999999999</v>
      </c>
      <c r="M71" s="65">
        <v>2.3260000000000001</v>
      </c>
      <c r="N71" s="65">
        <v>2.9340000000000002</v>
      </c>
      <c r="O71" s="65">
        <v>0.66900000000000004</v>
      </c>
      <c r="P71" s="65">
        <v>2.4660000000000002</v>
      </c>
      <c r="Q71" s="65">
        <v>1.5</v>
      </c>
      <c r="R71" s="65">
        <v>2.85</v>
      </c>
      <c r="S71" s="65">
        <v>1.7</v>
      </c>
      <c r="T71" s="65">
        <v>2.9</v>
      </c>
      <c r="U71" s="65">
        <v>1.7</v>
      </c>
      <c r="V71" s="66">
        <v>2.94</v>
      </c>
    </row>
    <row r="72" spans="1:22" s="27" customFormat="1" ht="15.6" x14ac:dyDescent="0.25">
      <c r="A72" s="78"/>
      <c r="B72" s="81" t="s">
        <v>114</v>
      </c>
      <c r="C72" s="80" t="s">
        <v>107</v>
      </c>
      <c r="D72" s="49"/>
      <c r="E72" s="49"/>
      <c r="F72" s="49"/>
      <c r="G72" s="49"/>
      <c r="H72" s="49"/>
      <c r="I72" s="49">
        <v>0</v>
      </c>
      <c r="J72" s="49">
        <v>0</v>
      </c>
      <c r="K72" s="65">
        <v>0</v>
      </c>
      <c r="L72" s="65">
        <v>0.20799999999999999</v>
      </c>
      <c r="M72" s="65">
        <v>0.22900000000000001</v>
      </c>
      <c r="N72" s="65">
        <v>0.23</v>
      </c>
      <c r="O72" s="65">
        <v>9.0999999999999998E-2</v>
      </c>
      <c r="P72" s="65">
        <v>0.25800000000000001</v>
      </c>
      <c r="Q72" s="65">
        <v>0.20300000000000001</v>
      </c>
      <c r="R72" s="65">
        <v>0.222</v>
      </c>
      <c r="S72" s="65">
        <v>0.21</v>
      </c>
      <c r="T72" s="65">
        <v>0.22500000000000001</v>
      </c>
      <c r="U72" s="65">
        <v>0.21</v>
      </c>
      <c r="V72" s="66">
        <v>0.22800000000000001</v>
      </c>
    </row>
    <row r="73" spans="1:22" s="27" customFormat="1" ht="15.6" x14ac:dyDescent="0.25">
      <c r="A73" s="78"/>
      <c r="B73" s="81" t="s">
        <v>115</v>
      </c>
      <c r="C73" s="80" t="s">
        <v>107</v>
      </c>
      <c r="D73" s="49"/>
      <c r="E73" s="49"/>
      <c r="F73" s="49"/>
      <c r="G73" s="49"/>
      <c r="H73" s="49"/>
      <c r="I73" s="49">
        <v>1.988</v>
      </c>
      <c r="J73" s="49">
        <v>1.3520000000000001</v>
      </c>
      <c r="K73" s="65">
        <v>1.5860000000000001</v>
      </c>
      <c r="L73" s="65">
        <v>1.387</v>
      </c>
      <c r="M73" s="65">
        <v>1.7789999999999999</v>
      </c>
      <c r="N73" s="65">
        <v>1.2689999999999999</v>
      </c>
      <c r="O73" s="65">
        <v>0.70799999999999996</v>
      </c>
      <c r="P73" s="65">
        <v>1.885</v>
      </c>
      <c r="Q73" s="65">
        <v>1.32</v>
      </c>
      <c r="R73" s="65">
        <v>1.3</v>
      </c>
      <c r="S73" s="65">
        <v>1.33</v>
      </c>
      <c r="T73" s="65">
        <v>1.32</v>
      </c>
      <c r="U73" s="65">
        <v>1.33</v>
      </c>
      <c r="V73" s="66">
        <v>1.35</v>
      </c>
    </row>
    <row r="74" spans="1:22" s="27" customFormat="1" ht="15.6" x14ac:dyDescent="0.25">
      <c r="A74" s="78" t="s">
        <v>116</v>
      </c>
      <c r="B74" s="31" t="s">
        <v>117</v>
      </c>
      <c r="C74" s="80" t="s">
        <v>107</v>
      </c>
      <c r="D74" s="49"/>
      <c r="E74" s="49"/>
      <c r="F74" s="49"/>
      <c r="G74" s="49"/>
      <c r="H74" s="49"/>
      <c r="I74" s="49">
        <v>9.3149999999999995</v>
      </c>
      <c r="J74" s="49">
        <v>10.125</v>
      </c>
      <c r="K74" s="65">
        <v>7.7649999999999997</v>
      </c>
      <c r="L74" s="65">
        <v>7.9660000000000002</v>
      </c>
      <c r="M74" s="65">
        <v>14.345000000000001</v>
      </c>
      <c r="N74" s="65">
        <v>10.098000000000001</v>
      </c>
      <c r="O74" s="65">
        <v>6.2160000000000002</v>
      </c>
      <c r="P74" s="65">
        <v>11.682</v>
      </c>
      <c r="Q74" s="65">
        <v>7.782</v>
      </c>
      <c r="R74" s="65">
        <v>6.0010000000000003</v>
      </c>
      <c r="S74" s="65">
        <v>5.3879999999999999</v>
      </c>
      <c r="T74" s="65">
        <v>6.1120000000000001</v>
      </c>
      <c r="U74" s="65">
        <v>5.4418800000000003</v>
      </c>
      <c r="V74" s="66">
        <v>6.2480000000000002</v>
      </c>
    </row>
    <row r="75" spans="1:22" s="27" customFormat="1" ht="15.6" x14ac:dyDescent="0.25">
      <c r="A75" s="78" t="s">
        <v>34</v>
      </c>
      <c r="B75" s="79" t="s">
        <v>118</v>
      </c>
      <c r="C75" s="80" t="s">
        <v>107</v>
      </c>
      <c r="D75" s="49"/>
      <c r="E75" s="49"/>
      <c r="F75" s="49"/>
      <c r="G75" s="49"/>
      <c r="H75" s="49"/>
      <c r="I75" s="49">
        <f t="shared" ref="I75:S75" si="28">SUM(I76:I78)</f>
        <v>91.275000000000006</v>
      </c>
      <c r="J75" s="49">
        <f t="shared" si="28"/>
        <v>85.903000000000006</v>
      </c>
      <c r="K75" s="65">
        <f t="shared" ref="K75" si="29">SUM(K76:K78)</f>
        <v>75.203000000000003</v>
      </c>
      <c r="L75" s="65">
        <f>SUM(L76:L78)+0.126</f>
        <v>89.802000000000007</v>
      </c>
      <c r="M75" s="65">
        <f t="shared" ref="M75:O75" si="30">SUM(M76:M78)</f>
        <v>72.724000000000004</v>
      </c>
      <c r="N75" s="65">
        <f t="shared" si="30"/>
        <v>92.779000000000011</v>
      </c>
      <c r="O75" s="65">
        <f t="shared" si="30"/>
        <v>81.399000000000001</v>
      </c>
      <c r="P75" s="65">
        <f>SUM(P76:P78)+0.5</f>
        <v>101.29599999999999</v>
      </c>
      <c r="Q75" s="65">
        <f t="shared" si="28"/>
        <v>41.133999999999993</v>
      </c>
      <c r="R75" s="65">
        <f t="shared" ref="R75" si="31">SUM(R76:R78)</f>
        <v>76.164000000000001</v>
      </c>
      <c r="S75" s="65">
        <f t="shared" si="28"/>
        <v>76.925640000000016</v>
      </c>
      <c r="T75" s="65">
        <f t="shared" ref="T75:V75" si="32">SUM(T76:T78)</f>
        <v>48.690999999999995</v>
      </c>
      <c r="U75" s="65">
        <f t="shared" si="32"/>
        <v>40.515311699999998</v>
      </c>
      <c r="V75" s="66">
        <f t="shared" si="32"/>
        <v>48.058999999999997</v>
      </c>
    </row>
    <row r="76" spans="1:22" s="27" customFormat="1" ht="15.6" x14ac:dyDescent="0.25">
      <c r="A76" s="78"/>
      <c r="B76" s="81" t="s">
        <v>119</v>
      </c>
      <c r="C76" s="80" t="s">
        <v>107</v>
      </c>
      <c r="D76" s="49"/>
      <c r="E76" s="49"/>
      <c r="F76" s="49"/>
      <c r="G76" s="49"/>
      <c r="H76" s="49"/>
      <c r="I76" s="49">
        <v>11.375999999999999</v>
      </c>
      <c r="J76" s="49">
        <v>18.137</v>
      </c>
      <c r="K76" s="65">
        <v>20.797999999999998</v>
      </c>
      <c r="L76" s="65">
        <v>32.329000000000001</v>
      </c>
      <c r="M76" s="65">
        <f>58.07+6.88</f>
        <v>64.95</v>
      </c>
      <c r="N76" s="65">
        <v>84.555000000000007</v>
      </c>
      <c r="O76" s="65">
        <v>74.938000000000002</v>
      </c>
      <c r="P76" s="65">
        <v>91.941999999999993</v>
      </c>
      <c r="Q76" s="65">
        <v>32.287999999999997</v>
      </c>
      <c r="R76" s="65">
        <v>68.694000000000003</v>
      </c>
      <c r="S76" s="65">
        <f>R76*1.01</f>
        <v>69.38094000000001</v>
      </c>
      <c r="T76" s="65">
        <v>41.259</v>
      </c>
      <c r="U76" s="65">
        <v>31.168135400000001</v>
      </c>
      <c r="V76" s="66">
        <v>39.656999999999996</v>
      </c>
    </row>
    <row r="77" spans="1:22" s="27" customFormat="1" ht="15.6" x14ac:dyDescent="0.25">
      <c r="A77" s="78"/>
      <c r="B77" s="81" t="s">
        <v>120</v>
      </c>
      <c r="C77" s="80" t="s">
        <v>107</v>
      </c>
      <c r="D77" s="49"/>
      <c r="E77" s="49"/>
      <c r="F77" s="49"/>
      <c r="G77" s="49"/>
      <c r="H77" s="49"/>
      <c r="I77" s="49">
        <v>0.71899999999999997</v>
      </c>
      <c r="J77" s="49">
        <v>0.86399999999999999</v>
      </c>
      <c r="K77" s="65">
        <v>0.63700000000000001</v>
      </c>
      <c r="L77" s="65">
        <v>0.71599999999999997</v>
      </c>
      <c r="M77" s="65">
        <v>0.74299999999999999</v>
      </c>
      <c r="N77" s="65">
        <v>0.68300000000000005</v>
      </c>
      <c r="O77" s="65">
        <v>0.42799999999999999</v>
      </c>
      <c r="P77" s="65">
        <v>0.73599999999999999</v>
      </c>
      <c r="Q77" s="65">
        <v>0.72399999999999998</v>
      </c>
      <c r="R77" s="65">
        <v>0.83699999999999997</v>
      </c>
      <c r="S77" s="65">
        <f t="shared" ref="S77:S78" si="33">R77*1.01</f>
        <v>0.84536999999999995</v>
      </c>
      <c r="T77" s="65">
        <v>0.91</v>
      </c>
      <c r="U77" s="65">
        <v>0.83648199999999995</v>
      </c>
      <c r="V77" s="66">
        <v>0.98399999999999999</v>
      </c>
    </row>
    <row r="78" spans="1:22" s="27" customFormat="1" ht="15.6" x14ac:dyDescent="0.25">
      <c r="A78" s="78"/>
      <c r="B78" s="81" t="s">
        <v>121</v>
      </c>
      <c r="C78" s="80" t="s">
        <v>107</v>
      </c>
      <c r="D78" s="49"/>
      <c r="E78" s="49"/>
      <c r="F78" s="49"/>
      <c r="G78" s="49"/>
      <c r="H78" s="49"/>
      <c r="I78" s="49">
        <v>79.180000000000007</v>
      </c>
      <c r="J78" s="49">
        <v>66.902000000000001</v>
      </c>
      <c r="K78" s="65">
        <v>53.768000000000001</v>
      </c>
      <c r="L78" s="65">
        <v>56.631</v>
      </c>
      <c r="M78" s="65">
        <v>7.0309999999999997</v>
      </c>
      <c r="N78" s="65">
        <v>7.5410000000000004</v>
      </c>
      <c r="O78" s="65">
        <v>6.0330000000000004</v>
      </c>
      <c r="P78" s="65">
        <v>8.1180000000000003</v>
      </c>
      <c r="Q78" s="65">
        <v>8.1219999999999999</v>
      </c>
      <c r="R78" s="65">
        <v>6.633</v>
      </c>
      <c r="S78" s="65">
        <f t="shared" si="33"/>
        <v>6.6993299999999998</v>
      </c>
      <c r="T78" s="65">
        <v>6.5220000000000002</v>
      </c>
      <c r="U78" s="65">
        <v>8.5106943000000008</v>
      </c>
      <c r="V78" s="66">
        <v>7.4180000000000001</v>
      </c>
    </row>
    <row r="79" spans="1:22" s="27" customFormat="1" ht="31.2" x14ac:dyDescent="0.25">
      <c r="A79" s="78" t="s">
        <v>51</v>
      </c>
      <c r="B79" s="31" t="s">
        <v>122</v>
      </c>
      <c r="C79" s="80" t="s">
        <v>107</v>
      </c>
      <c r="D79" s="49"/>
      <c r="E79" s="49"/>
      <c r="F79" s="49"/>
      <c r="G79" s="49"/>
      <c r="H79" s="49"/>
      <c r="I79" s="49">
        <f>SUM(I80:I89)</f>
        <v>127.63700000000001</v>
      </c>
      <c r="J79" s="49">
        <f t="shared" ref="J79:V79" si="34">SUM(J80:J89)</f>
        <v>129.256</v>
      </c>
      <c r="K79" s="65">
        <f t="shared" si="34"/>
        <v>122.46000000000001</v>
      </c>
      <c r="L79" s="65">
        <f t="shared" si="34"/>
        <v>130.02799999999999</v>
      </c>
      <c r="M79" s="65">
        <f t="shared" si="34"/>
        <v>119.86700000000002</v>
      </c>
      <c r="N79" s="65">
        <f t="shared" si="34"/>
        <v>135.01999999999998</v>
      </c>
      <c r="O79" s="65">
        <f t="shared" si="34"/>
        <v>104.60799999999999</v>
      </c>
      <c r="P79" s="65">
        <f t="shared" si="34"/>
        <v>148.626</v>
      </c>
      <c r="Q79" s="65">
        <f t="shared" si="34"/>
        <v>75.501000000000005</v>
      </c>
      <c r="R79" s="65">
        <f t="shared" si="34"/>
        <v>121.843</v>
      </c>
      <c r="S79" s="65">
        <f t="shared" si="34"/>
        <v>123.06142999999999</v>
      </c>
      <c r="T79" s="65">
        <f t="shared" si="34"/>
        <v>90.016999999999996</v>
      </c>
      <c r="U79" s="65">
        <f t="shared" si="34"/>
        <v>77.788755800999994</v>
      </c>
      <c r="V79" s="66">
        <f t="shared" si="34"/>
        <v>90.093999999999994</v>
      </c>
    </row>
    <row r="80" spans="1:22" s="27" customFormat="1" ht="15.6" x14ac:dyDescent="0.25">
      <c r="A80" s="78"/>
      <c r="B80" s="81" t="s">
        <v>123</v>
      </c>
      <c r="C80" s="80" t="s">
        <v>107</v>
      </c>
      <c r="D80" s="49"/>
      <c r="E80" s="49"/>
      <c r="F80" s="49"/>
      <c r="G80" s="49"/>
      <c r="H80" s="49"/>
      <c r="I80" s="49">
        <v>31.364000000000001</v>
      </c>
      <c r="J80" s="49">
        <v>33.994</v>
      </c>
      <c r="K80" s="65">
        <v>33.368000000000002</v>
      </c>
      <c r="L80" s="65">
        <v>32.505000000000003</v>
      </c>
      <c r="M80" s="65">
        <v>39.548000000000002</v>
      </c>
      <c r="N80" s="65">
        <v>35.765999999999998</v>
      </c>
      <c r="O80" s="65">
        <v>27.248999999999999</v>
      </c>
      <c r="P80" s="65">
        <v>47.868000000000002</v>
      </c>
      <c r="Q80" s="65">
        <v>30.867999999999999</v>
      </c>
      <c r="R80" s="65">
        <v>40.439</v>
      </c>
      <c r="S80" s="65">
        <f>R80*1.01</f>
        <v>40.843389999999999</v>
      </c>
      <c r="T80" s="65">
        <v>38.875</v>
      </c>
      <c r="U80" s="65">
        <v>31.803331267999997</v>
      </c>
      <c r="V80" s="66">
        <v>40.875</v>
      </c>
    </row>
    <row r="81" spans="1:22" s="27" customFormat="1" ht="15.6" x14ac:dyDescent="0.25">
      <c r="A81" s="78"/>
      <c r="B81" s="81" t="s">
        <v>124</v>
      </c>
      <c r="C81" s="80" t="s">
        <v>107</v>
      </c>
      <c r="D81" s="49"/>
      <c r="E81" s="49"/>
      <c r="F81" s="49"/>
      <c r="G81" s="49"/>
      <c r="H81" s="49"/>
      <c r="I81" s="49">
        <v>0.46400000000000002</v>
      </c>
      <c r="J81" s="49">
        <v>0.72699999999999998</v>
      </c>
      <c r="K81" s="65">
        <v>0.52</v>
      </c>
      <c r="L81" s="65">
        <v>0.60199999999999998</v>
      </c>
      <c r="M81" s="65">
        <v>0.621</v>
      </c>
      <c r="N81" s="65">
        <v>0.59899999999999998</v>
      </c>
      <c r="O81" s="65">
        <v>0.35599999999999998</v>
      </c>
      <c r="P81" s="65">
        <v>0.60699999999999998</v>
      </c>
      <c r="Q81" s="65">
        <v>0.51100000000000001</v>
      </c>
      <c r="R81" s="65">
        <v>0.70099999999999996</v>
      </c>
      <c r="S81" s="65">
        <f t="shared" ref="R81:T89" si="35">R81*1.01</f>
        <v>0.70800999999999992</v>
      </c>
      <c r="T81" s="65">
        <v>0.77400000000000002</v>
      </c>
      <c r="U81" s="65">
        <v>0.52648381100000008</v>
      </c>
      <c r="V81" s="66">
        <v>0.84799999999999998</v>
      </c>
    </row>
    <row r="82" spans="1:22" s="27" customFormat="1" ht="15.6" x14ac:dyDescent="0.25">
      <c r="A82" s="82"/>
      <c r="B82" s="83" t="s">
        <v>125</v>
      </c>
      <c r="C82" s="84" t="s">
        <v>107</v>
      </c>
      <c r="D82" s="49"/>
      <c r="E82" s="49"/>
      <c r="F82" s="49"/>
      <c r="G82" s="49"/>
      <c r="H82" s="49"/>
      <c r="I82" s="49">
        <v>1.242</v>
      </c>
      <c r="J82" s="49">
        <v>0.94299999999999995</v>
      </c>
      <c r="K82" s="65">
        <v>1.202</v>
      </c>
      <c r="L82" s="65">
        <v>4.056</v>
      </c>
      <c r="M82" s="65">
        <v>1.054</v>
      </c>
      <c r="N82" s="65">
        <v>1.0249999999999999</v>
      </c>
      <c r="O82" s="65">
        <v>0.72399999999999998</v>
      </c>
      <c r="P82" s="65">
        <v>0.93799999999999994</v>
      </c>
      <c r="Q82" s="65">
        <v>0.90300000000000002</v>
      </c>
      <c r="R82" s="65">
        <v>0.311</v>
      </c>
      <c r="S82" s="65">
        <f t="shared" si="35"/>
        <v>0.31411</v>
      </c>
      <c r="T82" s="65">
        <v>0.89400000000000002</v>
      </c>
      <c r="U82" s="65">
        <v>0.93036180299999993</v>
      </c>
      <c r="V82" s="66">
        <v>0.89400000000000002</v>
      </c>
    </row>
    <row r="83" spans="1:22" s="27" customFormat="1" ht="15.6" x14ac:dyDescent="0.25">
      <c r="A83" s="78"/>
      <c r="B83" s="81" t="s">
        <v>126</v>
      </c>
      <c r="C83" s="80" t="s">
        <v>107</v>
      </c>
      <c r="D83" s="49"/>
      <c r="E83" s="49"/>
      <c r="F83" s="49"/>
      <c r="G83" s="49"/>
      <c r="H83" s="49"/>
      <c r="I83" s="49">
        <v>9.56</v>
      </c>
      <c r="J83" s="49">
        <v>9.2010000000000005</v>
      </c>
      <c r="K83" s="65">
        <v>10.430999999999999</v>
      </c>
      <c r="L83" s="65">
        <v>7.6790000000000003</v>
      </c>
      <c r="M83" s="65">
        <v>14.413</v>
      </c>
      <c r="N83" s="65">
        <v>11.584</v>
      </c>
      <c r="O83" s="65">
        <v>8.2949999999999999</v>
      </c>
      <c r="P83" s="65">
        <v>12.819000000000001</v>
      </c>
      <c r="Q83" s="65">
        <v>6.8659999999999997</v>
      </c>
      <c r="R83" s="65">
        <v>19.170000000000002</v>
      </c>
      <c r="S83" s="65">
        <f t="shared" si="35"/>
        <v>19.361700000000003</v>
      </c>
      <c r="T83" s="65">
        <v>7.8719999999999999</v>
      </c>
      <c r="U83" s="65">
        <v>7.0740466660000001</v>
      </c>
      <c r="V83" s="66">
        <v>7.875</v>
      </c>
    </row>
    <row r="84" spans="1:22" s="27" customFormat="1" ht="15.6" x14ac:dyDescent="0.25">
      <c r="A84" s="78"/>
      <c r="B84" s="81" t="s">
        <v>127</v>
      </c>
      <c r="C84" s="80" t="s">
        <v>107</v>
      </c>
      <c r="D84" s="49"/>
      <c r="E84" s="49"/>
      <c r="F84" s="49"/>
      <c r="G84" s="49"/>
      <c r="H84" s="49"/>
      <c r="I84" s="49">
        <v>43.795000000000002</v>
      </c>
      <c r="J84" s="49">
        <v>41.646000000000001</v>
      </c>
      <c r="K84" s="65">
        <v>33.779000000000003</v>
      </c>
      <c r="L84" s="65">
        <v>48.308999999999997</v>
      </c>
      <c r="M84" s="65">
        <v>30.132000000000001</v>
      </c>
      <c r="N84" s="65">
        <v>47.83</v>
      </c>
      <c r="O84" s="65">
        <v>40.015999999999998</v>
      </c>
      <c r="P84" s="65">
        <v>35.716000000000001</v>
      </c>
      <c r="Q84" s="65">
        <v>3.484</v>
      </c>
      <c r="R84" s="65">
        <v>23.256</v>
      </c>
      <c r="S84" s="65">
        <f t="shared" si="35"/>
        <v>23.48856</v>
      </c>
      <c r="T84" s="65">
        <v>4.3579999999999997</v>
      </c>
      <c r="U84" s="65">
        <v>3.5895686840000001</v>
      </c>
      <c r="V84" s="66">
        <v>2.3580000000000001</v>
      </c>
    </row>
    <row r="85" spans="1:22" s="27" customFormat="1" ht="15.6" x14ac:dyDescent="0.25">
      <c r="A85" s="78"/>
      <c r="B85" s="81" t="s">
        <v>128</v>
      </c>
      <c r="C85" s="80" t="s">
        <v>107</v>
      </c>
      <c r="D85" s="49"/>
      <c r="E85" s="49"/>
      <c r="F85" s="49"/>
      <c r="G85" s="49"/>
      <c r="H85" s="49"/>
      <c r="I85" s="49"/>
      <c r="J85" s="49">
        <v>2E-3</v>
      </c>
      <c r="K85" s="65">
        <v>0</v>
      </c>
      <c r="L85" s="65">
        <v>2E-3</v>
      </c>
      <c r="M85" s="65">
        <v>0</v>
      </c>
      <c r="N85" s="65">
        <v>0.66</v>
      </c>
      <c r="O85" s="65">
        <v>0.66</v>
      </c>
      <c r="P85" s="65">
        <v>0.58499999999999996</v>
      </c>
      <c r="Q85" s="65">
        <v>0</v>
      </c>
      <c r="R85" s="65">
        <f t="shared" si="35"/>
        <v>0</v>
      </c>
      <c r="S85" s="65">
        <f t="shared" si="35"/>
        <v>0</v>
      </c>
      <c r="T85" s="65">
        <f t="shared" si="35"/>
        <v>0</v>
      </c>
      <c r="U85" s="65">
        <v>0</v>
      </c>
      <c r="V85" s="66">
        <f t="shared" ref="V85:V86" si="36">T85*1.02</f>
        <v>0</v>
      </c>
    </row>
    <row r="86" spans="1:22" s="27" customFormat="1" ht="15.6" hidden="1" outlineLevel="1" x14ac:dyDescent="0.25">
      <c r="A86" s="78"/>
      <c r="B86" s="81" t="s">
        <v>129</v>
      </c>
      <c r="C86" s="80" t="s">
        <v>107</v>
      </c>
      <c r="D86" s="49"/>
      <c r="E86" s="49"/>
      <c r="F86" s="49"/>
      <c r="G86" s="49"/>
      <c r="H86" s="49"/>
      <c r="I86" s="49">
        <v>0.24199999999999999</v>
      </c>
      <c r="J86" s="49">
        <v>0</v>
      </c>
      <c r="K86" s="65">
        <v>0</v>
      </c>
      <c r="L86" s="65">
        <v>7.0000000000000001E-3</v>
      </c>
      <c r="M86" s="65">
        <v>0</v>
      </c>
      <c r="N86" s="65">
        <v>0</v>
      </c>
      <c r="O86" s="65">
        <v>0</v>
      </c>
      <c r="P86" s="65">
        <v>0</v>
      </c>
      <c r="Q86" s="65">
        <v>0</v>
      </c>
      <c r="R86" s="65">
        <f t="shared" si="35"/>
        <v>0</v>
      </c>
      <c r="S86" s="65">
        <f t="shared" si="35"/>
        <v>0</v>
      </c>
      <c r="T86" s="65">
        <f t="shared" si="35"/>
        <v>0</v>
      </c>
      <c r="U86" s="65">
        <v>0</v>
      </c>
      <c r="V86" s="66">
        <f t="shared" si="36"/>
        <v>0</v>
      </c>
    </row>
    <row r="87" spans="1:22" s="27" customFormat="1" ht="15.6" collapsed="1" x14ac:dyDescent="0.25">
      <c r="A87" s="78"/>
      <c r="B87" s="81" t="s">
        <v>130</v>
      </c>
      <c r="C87" s="80" t="s">
        <v>107</v>
      </c>
      <c r="D87" s="49"/>
      <c r="E87" s="49"/>
      <c r="F87" s="49"/>
      <c r="G87" s="49"/>
      <c r="H87" s="49"/>
      <c r="I87" s="49">
        <v>24.741</v>
      </c>
      <c r="J87" s="49">
        <v>26.234999999999999</v>
      </c>
      <c r="K87" s="65">
        <v>27.763999999999999</v>
      </c>
      <c r="L87" s="65">
        <v>22.994</v>
      </c>
      <c r="M87" s="65">
        <v>21.064</v>
      </c>
      <c r="N87" s="65">
        <v>23.893999999999998</v>
      </c>
      <c r="O87" s="65">
        <v>16.882000000000001</v>
      </c>
      <c r="P87" s="65">
        <v>27.113</v>
      </c>
      <c r="Q87" s="65">
        <v>21.126999999999999</v>
      </c>
      <c r="R87" s="65">
        <v>24.315000000000001</v>
      </c>
      <c r="S87" s="65">
        <f t="shared" si="35"/>
        <v>24.558150000000001</v>
      </c>
      <c r="T87" s="65">
        <v>24.315000000000001</v>
      </c>
      <c r="U87" s="65">
        <v>21.767169227</v>
      </c>
      <c r="V87" s="66">
        <v>24.315000000000001</v>
      </c>
    </row>
    <row r="88" spans="1:22" s="27" customFormat="1" ht="15.6" x14ac:dyDescent="0.25">
      <c r="A88" s="78"/>
      <c r="B88" s="81" t="s">
        <v>131</v>
      </c>
      <c r="C88" s="80" t="s">
        <v>107</v>
      </c>
      <c r="D88" s="49"/>
      <c r="E88" s="49"/>
      <c r="F88" s="49"/>
      <c r="G88" s="49"/>
      <c r="H88" s="49"/>
      <c r="I88" s="49">
        <v>0</v>
      </c>
      <c r="J88" s="49">
        <v>1.4999999999999999E-2</v>
      </c>
      <c r="K88" s="65">
        <v>0.18</v>
      </c>
      <c r="L88" s="65">
        <v>0.13500000000000001</v>
      </c>
      <c r="M88" s="65">
        <v>0.125</v>
      </c>
      <c r="N88" s="65">
        <v>0.125</v>
      </c>
      <c r="O88" s="65">
        <v>8.5000000000000006E-2</v>
      </c>
      <c r="P88" s="65">
        <v>0.20300000000000001</v>
      </c>
      <c r="Q88" s="65">
        <v>0.12</v>
      </c>
      <c r="R88" s="65">
        <v>0.76500000000000001</v>
      </c>
      <c r="S88" s="65">
        <f t="shared" si="35"/>
        <v>0.77265000000000006</v>
      </c>
      <c r="T88" s="65">
        <v>0.18</v>
      </c>
      <c r="U88" s="65">
        <v>0.12363612</v>
      </c>
      <c r="V88" s="66">
        <v>0.18</v>
      </c>
    </row>
    <row r="89" spans="1:22" s="27" customFormat="1" ht="15.6" x14ac:dyDescent="0.25">
      <c r="A89" s="78"/>
      <c r="B89" s="81" t="s">
        <v>132</v>
      </c>
      <c r="C89" s="80" t="s">
        <v>107</v>
      </c>
      <c r="D89" s="49"/>
      <c r="E89" s="49"/>
      <c r="F89" s="49"/>
      <c r="G89" s="49"/>
      <c r="H89" s="49"/>
      <c r="I89" s="49">
        <v>16.228999999999999</v>
      </c>
      <c r="J89" s="49">
        <v>16.492999999999999</v>
      </c>
      <c r="K89" s="65">
        <v>15.215999999999999</v>
      </c>
      <c r="L89" s="65">
        <v>13.739000000000001</v>
      </c>
      <c r="M89" s="65">
        <v>12.91</v>
      </c>
      <c r="N89" s="65">
        <v>13.537000000000001</v>
      </c>
      <c r="O89" s="65">
        <v>10.340999999999999</v>
      </c>
      <c r="P89" s="65">
        <v>22.777000000000001</v>
      </c>
      <c r="Q89" s="65">
        <v>11.622</v>
      </c>
      <c r="R89" s="65">
        <v>12.885999999999999</v>
      </c>
      <c r="S89" s="65">
        <f t="shared" si="35"/>
        <v>13.014859999999999</v>
      </c>
      <c r="T89" s="65">
        <v>12.749000000000001</v>
      </c>
      <c r="U89" s="65">
        <v>11.974158222</v>
      </c>
      <c r="V89" s="66">
        <v>12.749000000000001</v>
      </c>
    </row>
    <row r="90" spans="1:22" s="27" customFormat="1" ht="31.2" x14ac:dyDescent="0.25">
      <c r="A90" s="78" t="s">
        <v>58</v>
      </c>
      <c r="B90" s="31" t="s">
        <v>133</v>
      </c>
      <c r="C90" s="80" t="s">
        <v>107</v>
      </c>
      <c r="D90" s="49"/>
      <c r="E90" s="49"/>
      <c r="F90" s="49"/>
      <c r="G90" s="49"/>
      <c r="H90" s="49"/>
      <c r="I90" s="49">
        <f t="shared" ref="I90:V90" si="37">I66-I79</f>
        <v>2.9709999999999894</v>
      </c>
      <c r="J90" s="49">
        <f t="shared" si="37"/>
        <v>-0.85900000000000887</v>
      </c>
      <c r="K90" s="65">
        <f t="shared" si="37"/>
        <v>-2.953000000000003</v>
      </c>
      <c r="L90" s="65">
        <f t="shared" si="37"/>
        <v>0.47900000000001342</v>
      </c>
      <c r="M90" s="65">
        <f t="shared" si="37"/>
        <v>-0.55700000000001637</v>
      </c>
      <c r="N90" s="65">
        <f t="shared" si="37"/>
        <v>1.8460000000000036</v>
      </c>
      <c r="O90" s="65">
        <f t="shared" si="37"/>
        <v>4.6020000000000181</v>
      </c>
      <c r="P90" s="65">
        <f t="shared" si="37"/>
        <v>2.6829999999999927</v>
      </c>
      <c r="Q90" s="65">
        <f t="shared" si="37"/>
        <v>0</v>
      </c>
      <c r="R90" s="65">
        <f t="shared" si="37"/>
        <v>-5.1600000000000108</v>
      </c>
      <c r="S90" s="65">
        <f t="shared" si="37"/>
        <v>-7.0643299999999698</v>
      </c>
      <c r="T90" s="65">
        <f t="shared" si="37"/>
        <v>0</v>
      </c>
      <c r="U90" s="65">
        <f t="shared" si="37"/>
        <v>-3.2410100000390685E-4</v>
      </c>
      <c r="V90" s="66">
        <f t="shared" si="37"/>
        <v>0</v>
      </c>
    </row>
    <row r="91" spans="1:22" s="27" customFormat="1" ht="15.6" x14ac:dyDescent="0.25">
      <c r="A91" s="47" t="s">
        <v>134</v>
      </c>
      <c r="B91" s="58" t="s">
        <v>135</v>
      </c>
      <c r="C91" s="24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V91" si="38">I92+I94+I96</f>
        <v>394641</v>
      </c>
      <c r="J91" s="85">
        <f t="shared" si="38"/>
        <v>420736</v>
      </c>
      <c r="K91" s="87">
        <f t="shared" si="38"/>
        <v>432807</v>
      </c>
      <c r="L91" s="87">
        <f t="shared" si="38"/>
        <v>419915</v>
      </c>
      <c r="M91" s="87">
        <f t="shared" si="38"/>
        <v>424241</v>
      </c>
      <c r="N91" s="87">
        <f t="shared" si="38"/>
        <v>432474.36</v>
      </c>
      <c r="O91" s="87">
        <v>324355.77</v>
      </c>
      <c r="P91" s="87">
        <f t="shared" si="38"/>
        <v>466098</v>
      </c>
      <c r="Q91" s="85">
        <f t="shared" si="38"/>
        <v>506506.19000000006</v>
      </c>
      <c r="R91" s="85">
        <f t="shared" si="38"/>
        <v>524740.47599999991</v>
      </c>
      <c r="S91" s="85">
        <f t="shared" si="38"/>
        <v>553474.53149999992</v>
      </c>
      <c r="T91" s="85">
        <f t="shared" si="38"/>
        <v>576336.66309999989</v>
      </c>
      <c r="U91" s="85">
        <f t="shared" si="38"/>
        <v>585780.2311208999</v>
      </c>
      <c r="V91" s="88">
        <f t="shared" si="38"/>
        <v>622726.10321079998</v>
      </c>
    </row>
    <row r="92" spans="1:22" s="27" customFormat="1" ht="62.4" x14ac:dyDescent="0.25">
      <c r="A92" s="22" t="s">
        <v>29</v>
      </c>
      <c r="B92" s="62" t="s">
        <v>136</v>
      </c>
      <c r="C92" s="24" t="s">
        <v>137</v>
      </c>
      <c r="D92" s="25">
        <f>302500*1.047</f>
        <v>316717.5</v>
      </c>
      <c r="E92" s="28">
        <v>334770.7</v>
      </c>
      <c r="F92" s="25">
        <v>357600</v>
      </c>
      <c r="G92" s="25">
        <f>F92*1.057</f>
        <v>377983.19999999995</v>
      </c>
      <c r="H92" s="25">
        <v>374764.79999999999</v>
      </c>
      <c r="I92" s="25">
        <v>377983</v>
      </c>
      <c r="J92" s="25">
        <v>402930</v>
      </c>
      <c r="K92" s="34">
        <v>415018</v>
      </c>
      <c r="L92" s="34">
        <v>402651</v>
      </c>
      <c r="M92" s="34">
        <v>406718</v>
      </c>
      <c r="N92" s="34">
        <f>M92*1.02/12*12</f>
        <v>414852.36</v>
      </c>
      <c r="O92" s="34">
        <v>311139.27</v>
      </c>
      <c r="P92" s="34">
        <v>448040</v>
      </c>
      <c r="Q92" s="25">
        <f>P92*109%</f>
        <v>488363.60000000003</v>
      </c>
      <c r="R92" s="25">
        <f>P92*113%</f>
        <v>506285.19999999995</v>
      </c>
      <c r="S92" s="25">
        <f>Q92*109.6%</f>
        <v>535246.50559999992</v>
      </c>
      <c r="T92" s="25">
        <f>R92*110.1%</f>
        <v>557420.0051999999</v>
      </c>
      <c r="U92" s="25">
        <f>S92*106%</f>
        <v>567361.29593599995</v>
      </c>
      <c r="V92" s="26">
        <f>T92*108.2%</f>
        <v>603128.44562639995</v>
      </c>
    </row>
    <row r="93" spans="1:22" s="27" customFormat="1" ht="15.6" x14ac:dyDescent="0.25">
      <c r="A93" s="22" t="s">
        <v>51</v>
      </c>
      <c r="B93" s="62" t="s">
        <v>138</v>
      </c>
      <c r="C93" s="24" t="s">
        <v>139</v>
      </c>
      <c r="D93" s="25">
        <f>SUM(D92/302500)*100</f>
        <v>104.69999999999999</v>
      </c>
      <c r="E93" s="28">
        <f>SUM(E92/D92)*100</f>
        <v>105.70009551098376</v>
      </c>
      <c r="F93" s="28">
        <f>SUM(F92/E92)*100</f>
        <v>106.81938413367718</v>
      </c>
      <c r="G93" s="28">
        <f>SUM(G92/F92)*100</f>
        <v>105.69999999999999</v>
      </c>
      <c r="H93" s="28">
        <f>SUM(H92/G92)*100</f>
        <v>99.148533585619688</v>
      </c>
      <c r="I93" s="28">
        <f>SUM(I92/H92*100)</f>
        <v>100.85872525914921</v>
      </c>
      <c r="J93" s="28">
        <f>SUM(J92/I92*100)</f>
        <v>106.60003227658387</v>
      </c>
      <c r="K93" s="28">
        <f>K92/J92*100</f>
        <v>103.00002481820663</v>
      </c>
      <c r="L93" s="28">
        <f>L92/K92*100</f>
        <v>97.020129247406146</v>
      </c>
      <c r="M93" s="28">
        <f>M92/L92*100</f>
        <v>101.01005585482217</v>
      </c>
      <c r="N93" s="28">
        <f>N92/M92*100</f>
        <v>102</v>
      </c>
      <c r="O93" s="28">
        <v>76.5</v>
      </c>
      <c r="P93" s="28">
        <f>P92/M92*100</f>
        <v>110.15986506621296</v>
      </c>
      <c r="Q93" s="28">
        <f>Q92/P92*100</f>
        <v>109.00000000000001</v>
      </c>
      <c r="R93" s="28">
        <f>R92/P92*100</f>
        <v>112.99999999999999</v>
      </c>
      <c r="S93" s="28">
        <f>S92/Q92*100</f>
        <v>109.59999999999997</v>
      </c>
      <c r="T93" s="28">
        <f>T92/R92*100</f>
        <v>110.1</v>
      </c>
      <c r="U93" s="28">
        <f>U92/S92*100</f>
        <v>106</v>
      </c>
      <c r="V93" s="40">
        <f>V92/T92*100</f>
        <v>108.2</v>
      </c>
    </row>
    <row r="94" spans="1:22" s="27" customFormat="1" ht="62.4" x14ac:dyDescent="0.25">
      <c r="A94" s="22" t="s">
        <v>58</v>
      </c>
      <c r="B94" s="62" t="s">
        <v>140</v>
      </c>
      <c r="C94" s="24" t="s">
        <v>137</v>
      </c>
      <c r="D94" s="25">
        <v>5300</v>
      </c>
      <c r="E94" s="28">
        <v>6133.3</v>
      </c>
      <c r="F94" s="25">
        <v>6800</v>
      </c>
      <c r="G94" s="25">
        <f>F94*1.048</f>
        <v>7126.4000000000005</v>
      </c>
      <c r="H94" s="25">
        <v>7099.2</v>
      </c>
      <c r="I94" s="25">
        <v>7454</v>
      </c>
      <c r="J94" s="25">
        <v>8050</v>
      </c>
      <c r="K94" s="25">
        <v>8131</v>
      </c>
      <c r="L94" s="25">
        <v>8050</v>
      </c>
      <c r="M94" s="25">
        <v>8171</v>
      </c>
      <c r="N94" s="25">
        <f>8212/12*12</f>
        <v>8212</v>
      </c>
      <c r="O94" s="25">
        <v>6159</v>
      </c>
      <c r="P94" s="25">
        <v>8459</v>
      </c>
      <c r="Q94" s="25">
        <f>P94*101%</f>
        <v>8543.59</v>
      </c>
      <c r="R94" s="25">
        <f>P94*102.2%</f>
        <v>8645.098</v>
      </c>
      <c r="S94" s="25">
        <f>Q94*101%</f>
        <v>8629.0259000000005</v>
      </c>
      <c r="T94" s="25">
        <f>R94*102.5%</f>
        <v>8861.2254499999999</v>
      </c>
      <c r="U94" s="25">
        <f>S94*101.1%</f>
        <v>8723.9451848999997</v>
      </c>
      <c r="V94" s="26">
        <f>T94*103.6%</f>
        <v>9180.2295661999997</v>
      </c>
    </row>
    <row r="95" spans="1:22" s="27" customFormat="1" ht="15.6" x14ac:dyDescent="0.25">
      <c r="A95" s="22" t="s">
        <v>61</v>
      </c>
      <c r="B95" s="62" t="s">
        <v>138</v>
      </c>
      <c r="C95" s="24" t="s">
        <v>139</v>
      </c>
      <c r="D95" s="25">
        <f>D94/4100*100</f>
        <v>129.26829268292684</v>
      </c>
      <c r="E95" s="28">
        <f t="shared" ref="E95:R95" si="39">E94/D94*100</f>
        <v>115.72264150943397</v>
      </c>
      <c r="F95" s="28">
        <f t="shared" si="39"/>
        <v>110.87016777265093</v>
      </c>
      <c r="G95" s="28">
        <f t="shared" si="39"/>
        <v>104.80000000000001</v>
      </c>
      <c r="H95" s="28">
        <f t="shared" si="39"/>
        <v>99.618320610687022</v>
      </c>
      <c r="I95" s="28">
        <f t="shared" si="39"/>
        <v>104.99774622492674</v>
      </c>
      <c r="J95" s="28">
        <f t="shared" si="39"/>
        <v>107.99570700295145</v>
      </c>
      <c r="K95" s="28">
        <f>K94/J94*100</f>
        <v>101.00621118012423</v>
      </c>
      <c r="L95" s="28">
        <f>L94/K94*100</f>
        <v>99.003812569179686</v>
      </c>
      <c r="M95" s="28">
        <f>M94/L94*100</f>
        <v>101.50310559006211</v>
      </c>
      <c r="N95" s="28">
        <f>N94/M94*100</f>
        <v>100.50177456859626</v>
      </c>
      <c r="O95" s="28">
        <v>75.376330926447181</v>
      </c>
      <c r="P95" s="28">
        <f>P94/M94*100</f>
        <v>103.52466038428589</v>
      </c>
      <c r="Q95" s="28">
        <f t="shared" si="39"/>
        <v>101</v>
      </c>
      <c r="R95" s="28">
        <f t="shared" si="39"/>
        <v>101.1881188118812</v>
      </c>
      <c r="S95" s="28">
        <f>S94/Q94*100</f>
        <v>101</v>
      </c>
      <c r="T95" s="28">
        <f>T94/R94*100</f>
        <v>102.49999999999999</v>
      </c>
      <c r="U95" s="28">
        <f>U94/S94*100</f>
        <v>101.1</v>
      </c>
      <c r="V95" s="40">
        <f>V94/T94*100</f>
        <v>103.60000000000001</v>
      </c>
    </row>
    <row r="96" spans="1:22" s="27" customFormat="1" ht="62.4" x14ac:dyDescent="0.25">
      <c r="A96" s="22" t="s">
        <v>63</v>
      </c>
      <c r="B96" s="62" t="s">
        <v>141</v>
      </c>
      <c r="C96" s="24" t="s">
        <v>137</v>
      </c>
      <c r="D96" s="25">
        <v>5600</v>
      </c>
      <c r="E96" s="25">
        <v>7240</v>
      </c>
      <c r="F96" s="25">
        <v>8200</v>
      </c>
      <c r="G96" s="25">
        <f>F96*1.071</f>
        <v>8782.1999999999989</v>
      </c>
      <c r="H96" s="25">
        <v>8765.7999999999993</v>
      </c>
      <c r="I96" s="25">
        <v>9204</v>
      </c>
      <c r="J96" s="25">
        <v>9756</v>
      </c>
      <c r="K96" s="25">
        <v>9658</v>
      </c>
      <c r="L96" s="25">
        <v>9214</v>
      </c>
      <c r="M96" s="25">
        <v>9352</v>
      </c>
      <c r="N96" s="25">
        <f>9410/12*12</f>
        <v>9410</v>
      </c>
      <c r="O96" s="25">
        <v>7057.5</v>
      </c>
      <c r="P96" s="25">
        <v>9599</v>
      </c>
      <c r="Q96" s="25">
        <f>P96*100%</f>
        <v>9599</v>
      </c>
      <c r="R96" s="25">
        <f>P96*102.2%</f>
        <v>9810.1779999999999</v>
      </c>
      <c r="S96" s="25">
        <f>Q96*100%</f>
        <v>9599</v>
      </c>
      <c r="T96" s="25">
        <f>R96*102.5%</f>
        <v>10055.432449999998</v>
      </c>
      <c r="U96" s="25">
        <f>S96*101%</f>
        <v>9694.99</v>
      </c>
      <c r="V96" s="26">
        <f>T96*103.6%</f>
        <v>10417.428018199998</v>
      </c>
    </row>
    <row r="97" spans="1:22" s="27" customFormat="1" ht="16.2" thickBot="1" x14ac:dyDescent="0.3">
      <c r="A97" s="89" t="s">
        <v>65</v>
      </c>
      <c r="B97" s="90" t="s">
        <v>138</v>
      </c>
      <c r="C97" s="91" t="s">
        <v>139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R97" si="40">I96/H96*100</f>
        <v>104.99897328252985</v>
      </c>
      <c r="J97" s="93">
        <f t="shared" si="40"/>
        <v>105.99739243807041</v>
      </c>
      <c r="K97" s="93">
        <f t="shared" si="40"/>
        <v>98.995489954899554</v>
      </c>
      <c r="L97" s="93">
        <f t="shared" si="40"/>
        <v>95.402774901635951</v>
      </c>
      <c r="M97" s="93">
        <f>M96/L96*100</f>
        <v>101.49772085956155</v>
      </c>
      <c r="N97" s="93">
        <f>N96/M96*100</f>
        <v>100.62018819503848</v>
      </c>
      <c r="O97" s="93">
        <v>75.465141146278867</v>
      </c>
      <c r="P97" s="93">
        <f>P96/M96*100</f>
        <v>102.64114627887082</v>
      </c>
      <c r="Q97" s="93">
        <f t="shared" si="40"/>
        <v>100</v>
      </c>
      <c r="R97" s="93">
        <f t="shared" si="40"/>
        <v>102.2</v>
      </c>
      <c r="S97" s="93">
        <f>S96/Q96*100</f>
        <v>100</v>
      </c>
      <c r="T97" s="93">
        <f>T96/R96*100</f>
        <v>102.49999999999999</v>
      </c>
      <c r="U97" s="93">
        <f>U96/S96*100</f>
        <v>101</v>
      </c>
      <c r="V97" s="94">
        <f>V96/T96*100</f>
        <v>103.60000000000001</v>
      </c>
    </row>
    <row r="98" spans="1:22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4"/>
      <c r="P98" s="98"/>
      <c r="Q98" s="4"/>
      <c r="R98" s="4"/>
    </row>
    <row r="99" spans="1:22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</row>
    <row r="100" spans="1:22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</row>
    <row r="101" spans="1:22" s="2" customFormat="1" ht="19.5" customHeight="1" x14ac:dyDescent="0.25">
      <c r="A101" s="124" t="s">
        <v>142</v>
      </c>
      <c r="B101" s="124"/>
      <c r="C101" s="124"/>
      <c r="D101" s="124"/>
      <c r="E101" s="124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4"/>
      <c r="R101" s="4"/>
    </row>
    <row r="102" spans="1:22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</row>
  </sheetData>
  <mergeCells count="26">
    <mergeCell ref="F9:F10"/>
    <mergeCell ref="Q1:V1"/>
    <mergeCell ref="Q2:V2"/>
    <mergeCell ref="Q3:V3"/>
    <mergeCell ref="A5:V5"/>
    <mergeCell ref="A6:V6"/>
    <mergeCell ref="A7:V7"/>
    <mergeCell ref="U9:V9"/>
    <mergeCell ref="Q9:R9"/>
    <mergeCell ref="S9:T9"/>
    <mergeCell ref="A101:E101"/>
    <mergeCell ref="M9:M10"/>
    <mergeCell ref="N9:N10"/>
    <mergeCell ref="O9:O10"/>
    <mergeCell ref="P9:P10"/>
    <mergeCell ref="G9:G10"/>
    <mergeCell ref="H9:H10"/>
    <mergeCell ref="I9:I10"/>
    <mergeCell ref="J9:J10"/>
    <mergeCell ref="K9:K10"/>
    <mergeCell ref="L9:L10"/>
    <mergeCell ref="A9:A10"/>
    <mergeCell ref="B9:B10"/>
    <mergeCell ref="C9:C10"/>
    <mergeCell ref="D9:D10"/>
    <mergeCell ref="E9:E10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P102"/>
  <sheetViews>
    <sheetView tabSelected="1" zoomScale="75" workbookViewId="0">
      <pane ySplit="12" topLeftCell="A95" activePane="bottomLeft" state="frozen"/>
      <selection pane="bottomLeft" sqref="A1:M101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33203125" style="2" hidden="1" customWidth="1" outlineLevel="1"/>
    <col min="5" max="5" width="11.33203125" style="2" customWidth="1" collapsed="1"/>
    <col min="6" max="7" width="11.33203125" style="2" customWidth="1"/>
    <col min="8" max="13" width="13" style="2" customWidth="1"/>
  </cols>
  <sheetData>
    <row r="1" spans="1:16" ht="18.75" customHeight="1" x14ac:dyDescent="0.3">
      <c r="H1" s="135" t="s">
        <v>0</v>
      </c>
      <c r="I1" s="135"/>
      <c r="J1" s="135"/>
      <c r="K1" s="135"/>
      <c r="L1" s="135"/>
      <c r="M1" s="135"/>
    </row>
    <row r="2" spans="1:16" ht="18.75" customHeight="1" x14ac:dyDescent="0.3">
      <c r="H2" s="136" t="s">
        <v>1</v>
      </c>
      <c r="I2" s="136"/>
      <c r="J2" s="136"/>
      <c r="K2" s="136"/>
      <c r="L2" s="136"/>
      <c r="M2" s="136"/>
    </row>
    <row r="3" spans="1:16" s="8" customFormat="1" ht="18.75" customHeight="1" x14ac:dyDescent="0.3">
      <c r="A3" s="5"/>
      <c r="B3" s="6"/>
      <c r="C3" s="6"/>
      <c r="D3" s="7"/>
      <c r="E3" s="7"/>
      <c r="F3" s="7"/>
      <c r="G3" s="7"/>
      <c r="H3" s="136" t="s">
        <v>150</v>
      </c>
      <c r="I3" s="136"/>
      <c r="J3" s="136"/>
      <c r="K3" s="136"/>
      <c r="L3" s="136"/>
      <c r="M3" s="136"/>
    </row>
    <row r="4" spans="1:16" s="8" customFormat="1" ht="18.75" customHeight="1" x14ac:dyDescent="0.25">
      <c r="A4" s="5"/>
      <c r="B4" s="6"/>
      <c r="C4" s="6"/>
      <c r="D4" s="7"/>
      <c r="E4" s="7"/>
      <c r="F4" s="7"/>
      <c r="G4" s="7"/>
      <c r="H4" s="7"/>
      <c r="I4" s="9"/>
      <c r="J4" s="9"/>
      <c r="K4" s="9"/>
      <c r="L4" s="9"/>
      <c r="M4" s="9"/>
    </row>
    <row r="5" spans="1:16" s="8" customFormat="1" ht="18.75" customHeight="1" x14ac:dyDescent="0.25">
      <c r="A5" s="137" t="s">
        <v>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</row>
    <row r="6" spans="1:16" s="8" customFormat="1" ht="18.75" customHeight="1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</row>
    <row r="7" spans="1:16" s="8" customFormat="1" ht="18.75" customHeight="1" x14ac:dyDescent="0.25">
      <c r="A7" s="137" t="s">
        <v>144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</row>
    <row r="8" spans="1:16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6" s="8" customFormat="1" ht="26.25" customHeight="1" x14ac:dyDescent="0.25">
      <c r="A9" s="127" t="s">
        <v>6</v>
      </c>
      <c r="B9" s="129" t="s">
        <v>7</v>
      </c>
      <c r="C9" s="131" t="s">
        <v>8</v>
      </c>
      <c r="D9" s="125" t="s">
        <v>18</v>
      </c>
      <c r="E9" s="125" t="s">
        <v>19</v>
      </c>
      <c r="F9" s="125" t="s">
        <v>146</v>
      </c>
      <c r="G9" s="125" t="s">
        <v>147</v>
      </c>
      <c r="H9" s="138" t="s">
        <v>148</v>
      </c>
      <c r="I9" s="140"/>
      <c r="J9" s="138" t="s">
        <v>24</v>
      </c>
      <c r="K9" s="140"/>
      <c r="L9" s="138" t="s">
        <v>149</v>
      </c>
      <c r="M9" s="139"/>
    </row>
    <row r="10" spans="1:16" s="14" customFormat="1" ht="47.4" thickBot="1" x14ac:dyDescent="0.3">
      <c r="A10" s="128"/>
      <c r="B10" s="130"/>
      <c r="C10" s="132"/>
      <c r="D10" s="126"/>
      <c r="E10" s="126"/>
      <c r="F10" s="126"/>
      <c r="G10" s="126"/>
      <c r="H10" s="11" t="s">
        <v>25</v>
      </c>
      <c r="I10" s="12" t="s">
        <v>26</v>
      </c>
      <c r="J10" s="11" t="s">
        <v>25</v>
      </c>
      <c r="K10" s="12" t="s">
        <v>26</v>
      </c>
      <c r="L10" s="11" t="s">
        <v>25</v>
      </c>
      <c r="M10" s="13" t="s">
        <v>26</v>
      </c>
      <c r="P10" s="14">
        <v>23</v>
      </c>
    </row>
    <row r="11" spans="1:16" s="14" customFormat="1" ht="15.6" x14ac:dyDescent="0.25">
      <c r="A11" s="15" t="s">
        <v>27</v>
      </c>
      <c r="B11" s="16" t="s">
        <v>28</v>
      </c>
      <c r="C11" s="17"/>
      <c r="D11" s="19"/>
      <c r="E11" s="19"/>
      <c r="F11" s="19"/>
      <c r="G11" s="20"/>
      <c r="H11" s="20"/>
      <c r="I11" s="100"/>
      <c r="J11" s="20"/>
      <c r="K11" s="100"/>
      <c r="L11" s="20"/>
      <c r="M11" s="101"/>
    </row>
    <row r="12" spans="1:16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>
        <v>3077000</v>
      </c>
      <c r="E12" s="25">
        <f t="shared" ref="E12:M12" si="0">E13+E14+E18+E19+E20+E21+E22+E23+E24</f>
        <v>5282342.6900000004</v>
      </c>
      <c r="F12" s="25">
        <f t="shared" si="0"/>
        <v>3685987</v>
      </c>
      <c r="G12" s="25">
        <f t="shared" si="0"/>
        <v>3751683</v>
      </c>
      <c r="H12" s="25">
        <f t="shared" si="0"/>
        <v>3720045.7021699999</v>
      </c>
      <c r="I12" s="25">
        <f t="shared" si="0"/>
        <v>3770282.9069999997</v>
      </c>
      <c r="J12" s="25">
        <f t="shared" si="0"/>
        <v>3754509.9077128991</v>
      </c>
      <c r="K12" s="25">
        <f t="shared" si="0"/>
        <v>3805399.0994859999</v>
      </c>
      <c r="L12" s="25">
        <f t="shared" si="0"/>
        <v>3788857.3323556255</v>
      </c>
      <c r="M12" s="26">
        <f t="shared" si="0"/>
        <v>3827128.6185410349</v>
      </c>
    </row>
    <row r="13" spans="1:16" s="27" customFormat="1" ht="15.6" x14ac:dyDescent="0.25">
      <c r="A13" s="22" t="s">
        <v>32</v>
      </c>
      <c r="B13" s="23" t="s">
        <v>33</v>
      </c>
      <c r="C13" s="24" t="s">
        <v>31</v>
      </c>
      <c r="D13" s="25">
        <v>1179200</v>
      </c>
      <c r="E13" s="25">
        <f>D13*100.5/100/12*12</f>
        <v>1185096</v>
      </c>
      <c r="F13" s="25">
        <v>1191021</v>
      </c>
      <c r="G13" s="25">
        <v>1237352</v>
      </c>
      <c r="H13" s="25">
        <f>I13*0.98</f>
        <v>1228368.82448</v>
      </c>
      <c r="I13" s="25">
        <f>G13*101.3%</f>
        <v>1253437.5759999999</v>
      </c>
      <c r="J13" s="25">
        <f>K13*0.98</f>
        <v>1257849.6762675198</v>
      </c>
      <c r="K13" s="25">
        <f>I13*102.4%</f>
        <v>1283520.0778239998</v>
      </c>
      <c r="L13" s="25">
        <f>M13*0.99</f>
        <v>1287203.7804473545</v>
      </c>
      <c r="M13" s="26">
        <f>K13*101.3%</f>
        <v>1300205.8388357116</v>
      </c>
    </row>
    <row r="14" spans="1:16" s="27" customFormat="1" ht="46.8" x14ac:dyDescent="0.25">
      <c r="A14" s="22" t="s">
        <v>34</v>
      </c>
      <c r="B14" s="29" t="s">
        <v>35</v>
      </c>
      <c r="C14" s="24" t="s">
        <v>31</v>
      </c>
      <c r="D14" s="25">
        <f t="shared" ref="D14:M14" si="1">D15+D16+D17</f>
        <v>110612</v>
      </c>
      <c r="E14" s="85">
        <f t="shared" si="1"/>
        <v>111718</v>
      </c>
      <c r="F14" s="85">
        <f t="shared" si="1"/>
        <v>111957</v>
      </c>
      <c r="G14" s="85">
        <f t="shared" si="1"/>
        <v>113062</v>
      </c>
      <c r="H14" s="85">
        <f t="shared" si="1"/>
        <v>112043.31137999998</v>
      </c>
      <c r="I14" s="85">
        <f t="shared" si="1"/>
        <v>113175.06199999999</v>
      </c>
      <c r="J14" s="85">
        <f t="shared" si="1"/>
        <v>112267.39800275999</v>
      </c>
      <c r="K14" s="85">
        <f t="shared" si="1"/>
        <v>113401.41212399999</v>
      </c>
      <c r="L14" s="85">
        <f t="shared" si="1"/>
        <v>112491.93279876551</v>
      </c>
      <c r="M14" s="88">
        <f t="shared" si="1"/>
        <v>113628.21494824799</v>
      </c>
    </row>
    <row r="15" spans="1:16" s="27" customFormat="1" ht="15.6" x14ac:dyDescent="0.25">
      <c r="A15" s="30"/>
      <c r="B15" s="31" t="s">
        <v>36</v>
      </c>
      <c r="C15" s="24" t="s">
        <v>31</v>
      </c>
      <c r="D15" s="25">
        <v>75530</v>
      </c>
      <c r="E15" s="25">
        <f>76285/12*12</f>
        <v>76285</v>
      </c>
      <c r="F15" s="25">
        <v>76300</v>
      </c>
      <c r="G15" s="25">
        <v>77048</v>
      </c>
      <c r="H15" s="25">
        <f>I15*0.99</f>
        <v>76353.797519999993</v>
      </c>
      <c r="I15" s="25">
        <f>G15*100.1%</f>
        <v>77125.047999999995</v>
      </c>
      <c r="J15" s="25">
        <f>K15*0.99</f>
        <v>76506.505115039996</v>
      </c>
      <c r="K15" s="25">
        <f t="shared" ref="K15:M15" si="2">I15*100.2%</f>
        <v>77279.298095999999</v>
      </c>
      <c r="L15" s="25">
        <f>M15*0.99</f>
        <v>76659.518125270071</v>
      </c>
      <c r="M15" s="26">
        <f t="shared" si="2"/>
        <v>77433.856692191999</v>
      </c>
    </row>
    <row r="16" spans="1:16" s="27" customFormat="1" ht="15.6" x14ac:dyDescent="0.25">
      <c r="A16" s="30"/>
      <c r="B16" s="31" t="s">
        <v>37</v>
      </c>
      <c r="C16" s="24" t="s">
        <v>31</v>
      </c>
      <c r="D16" s="25">
        <v>26075</v>
      </c>
      <c r="E16" s="25">
        <f>26336/12*12</f>
        <v>26336</v>
      </c>
      <c r="F16" s="25">
        <v>26552</v>
      </c>
      <c r="G16" s="25">
        <v>26818</v>
      </c>
      <c r="H16" s="25">
        <f>I16*0.99</f>
        <v>26576.369819999996</v>
      </c>
      <c r="I16" s="25">
        <f>G16*100.1%</f>
        <v>26844.817999999996</v>
      </c>
      <c r="J16" s="25">
        <f>K16*0.99</f>
        <v>26629.522559639994</v>
      </c>
      <c r="K16" s="25">
        <f t="shared" ref="K16" si="3">I16*100.2%</f>
        <v>26898.507635999995</v>
      </c>
      <c r="L16" s="25">
        <f>M16*0.99</f>
        <v>26682.781604759275</v>
      </c>
      <c r="M16" s="26">
        <f t="shared" ref="M16" si="4">K16*100.2%</f>
        <v>26952.304651271996</v>
      </c>
    </row>
    <row r="17" spans="1:13" s="27" customFormat="1" ht="15.6" x14ac:dyDescent="0.25">
      <c r="A17" s="30"/>
      <c r="B17" s="31" t="s">
        <v>38</v>
      </c>
      <c r="C17" s="24" t="s">
        <v>31</v>
      </c>
      <c r="D17" s="25">
        <v>9007</v>
      </c>
      <c r="E17" s="25">
        <f>9097/12*12</f>
        <v>9097</v>
      </c>
      <c r="F17" s="25">
        <v>9105</v>
      </c>
      <c r="G17" s="25">
        <v>9196</v>
      </c>
      <c r="H17" s="25">
        <f>I17*0.99</f>
        <v>9113.1440399999974</v>
      </c>
      <c r="I17" s="25">
        <f>G17*100.1%</f>
        <v>9205.1959999999981</v>
      </c>
      <c r="J17" s="25">
        <f>K17*0.99</f>
        <v>9131.3703280799982</v>
      </c>
      <c r="K17" s="25">
        <f t="shared" ref="K17" si="5">I17*100.2%</f>
        <v>9223.6063919999979</v>
      </c>
      <c r="L17" s="25">
        <f>M17*0.99</f>
        <v>9149.6330687361569</v>
      </c>
      <c r="M17" s="26">
        <f t="shared" ref="M17" si="6">K17*100.2%</f>
        <v>9242.0536047839978</v>
      </c>
    </row>
    <row r="18" spans="1:13" s="27" customFormat="1" ht="15.6" x14ac:dyDescent="0.25">
      <c r="A18" s="22" t="s">
        <v>39</v>
      </c>
      <c r="B18" s="29" t="s">
        <v>40</v>
      </c>
      <c r="C18" s="24" t="s">
        <v>31</v>
      </c>
      <c r="D18" s="34">
        <v>0</v>
      </c>
      <c r="E18" s="34">
        <v>0</v>
      </c>
      <c r="F18" s="34">
        <v>0</v>
      </c>
      <c r="G18" s="34">
        <v>0</v>
      </c>
      <c r="H18" s="34">
        <f t="shared" ref="H18" si="7">G18*101%</f>
        <v>0</v>
      </c>
      <c r="I18" s="34">
        <f>G18*100%</f>
        <v>0</v>
      </c>
      <c r="J18" s="34">
        <f>H18*100.3%</f>
        <v>0</v>
      </c>
      <c r="K18" s="34">
        <f>I18*100.1%</f>
        <v>0</v>
      </c>
      <c r="L18" s="34">
        <f>J18*100.2%</f>
        <v>0</v>
      </c>
      <c r="M18" s="35">
        <f>K18*100.1%</f>
        <v>0</v>
      </c>
    </row>
    <row r="19" spans="1:13" s="27" customFormat="1" ht="15.6" x14ac:dyDescent="0.25">
      <c r="A19" s="36" t="s">
        <v>41</v>
      </c>
      <c r="B19" s="29" t="s">
        <v>42</v>
      </c>
      <c r="C19" s="24" t="s">
        <v>31</v>
      </c>
      <c r="D19" s="102">
        <v>1640660</v>
      </c>
      <c r="E19" s="102">
        <v>3297631</v>
      </c>
      <c r="F19" s="25">
        <v>1722735</v>
      </c>
      <c r="G19" s="25">
        <v>1739962</v>
      </c>
      <c r="H19" s="34">
        <f t="shared" ref="H19:H24" si="8">I19*0.99</f>
        <v>1724284.9423799999</v>
      </c>
      <c r="I19" s="25">
        <f t="shared" ref="I19:I24" si="9">G19*100.1%</f>
        <v>1741701.9619999998</v>
      </c>
      <c r="J19" s="25">
        <f t="shared" ref="J19:J24" si="10">K19*0.99</f>
        <v>1727733.5122647597</v>
      </c>
      <c r="K19" s="25">
        <f t="shared" ref="K19" si="11">I19*100.2%</f>
        <v>1745185.3659239998</v>
      </c>
      <c r="L19" s="25">
        <f t="shared" ref="L19:L24" si="12">M19*0.99</f>
        <v>1731188.9792892893</v>
      </c>
      <c r="M19" s="26">
        <f t="shared" ref="M19" si="13">K19*100.2%</f>
        <v>1748675.7366558479</v>
      </c>
    </row>
    <row r="20" spans="1:13" s="27" customFormat="1" ht="15.6" x14ac:dyDescent="0.25">
      <c r="A20" s="36" t="s">
        <v>43</v>
      </c>
      <c r="B20" s="31" t="s">
        <v>44</v>
      </c>
      <c r="C20" s="24" t="s">
        <v>31</v>
      </c>
      <c r="D20" s="25">
        <v>70050</v>
      </c>
      <c r="E20" s="25">
        <f>70050/12*12</f>
        <v>70050</v>
      </c>
      <c r="F20" s="25">
        <v>72852</v>
      </c>
      <c r="G20" s="25">
        <v>73583</v>
      </c>
      <c r="H20" s="34">
        <f t="shared" si="8"/>
        <v>72920.017169999992</v>
      </c>
      <c r="I20" s="25">
        <f t="shared" si="9"/>
        <v>73656.582999999999</v>
      </c>
      <c r="J20" s="25">
        <f t="shared" si="10"/>
        <v>73065.857204340005</v>
      </c>
      <c r="K20" s="25">
        <f t="shared" ref="K20:K24" si="14">I20*100.2%</f>
        <v>73803.896166000006</v>
      </c>
      <c r="L20" s="25">
        <f t="shared" si="12"/>
        <v>73211.988918748684</v>
      </c>
      <c r="M20" s="26">
        <f t="shared" ref="M20:M24" si="15">K20*100.2%</f>
        <v>73951.503958332003</v>
      </c>
    </row>
    <row r="21" spans="1:13" s="27" customFormat="1" ht="15.6" x14ac:dyDescent="0.25">
      <c r="A21" s="36" t="s">
        <v>45</v>
      </c>
      <c r="B21" s="31" t="s">
        <v>46</v>
      </c>
      <c r="C21" s="24" t="s">
        <v>31</v>
      </c>
      <c r="D21" s="25">
        <v>26254</v>
      </c>
      <c r="E21" s="25">
        <f>26258/12*12</f>
        <v>26258</v>
      </c>
      <c r="F21" s="25">
        <v>26259</v>
      </c>
      <c r="G21" s="25">
        <v>26522</v>
      </c>
      <c r="H21" s="34">
        <f t="shared" si="8"/>
        <v>26283.036779999999</v>
      </c>
      <c r="I21" s="25">
        <f t="shared" si="9"/>
        <v>26548.521999999997</v>
      </c>
      <c r="J21" s="25">
        <f t="shared" si="10"/>
        <v>26335.602853559994</v>
      </c>
      <c r="K21" s="25">
        <f t="shared" si="14"/>
        <v>26601.619043999995</v>
      </c>
      <c r="L21" s="25">
        <f t="shared" si="12"/>
        <v>26388.274059267118</v>
      </c>
      <c r="M21" s="26">
        <f t="shared" si="15"/>
        <v>26654.822282087996</v>
      </c>
    </row>
    <row r="22" spans="1:13" s="27" customFormat="1" ht="15.6" outlineLevel="1" x14ac:dyDescent="0.25">
      <c r="A22" s="36" t="s">
        <v>47</v>
      </c>
      <c r="B22" s="37" t="s">
        <v>48</v>
      </c>
      <c r="C22" s="24" t="s">
        <v>31</v>
      </c>
      <c r="D22" s="25"/>
      <c r="E22" s="34">
        <v>145787.69</v>
      </c>
      <c r="F22" s="25">
        <v>140300</v>
      </c>
      <c r="G22" s="25">
        <v>140300</v>
      </c>
      <c r="H22" s="25">
        <f t="shared" si="8"/>
        <v>139035.897</v>
      </c>
      <c r="I22" s="25">
        <f t="shared" si="9"/>
        <v>140440.29999999999</v>
      </c>
      <c r="J22" s="25">
        <f t="shared" si="10"/>
        <v>139313.96879399999</v>
      </c>
      <c r="K22" s="25">
        <f t="shared" si="14"/>
        <v>140721.18059999999</v>
      </c>
      <c r="L22" s="25">
        <f t="shared" si="12"/>
        <v>139592.59673158798</v>
      </c>
      <c r="M22" s="26">
        <f t="shared" si="15"/>
        <v>141002.62296119999</v>
      </c>
    </row>
    <row r="23" spans="1:13" s="27" customFormat="1" ht="15.6" outlineLevel="1" x14ac:dyDescent="0.25">
      <c r="A23" s="36" t="s">
        <v>47</v>
      </c>
      <c r="B23" s="31" t="s">
        <v>49</v>
      </c>
      <c r="C23" s="24" t="s">
        <v>31</v>
      </c>
      <c r="D23" s="25"/>
      <c r="E23" s="25">
        <v>427502</v>
      </c>
      <c r="F23" s="25">
        <v>407263</v>
      </c>
      <c r="G23" s="25">
        <v>407302</v>
      </c>
      <c r="H23" s="25">
        <f t="shared" si="8"/>
        <v>403632.20897999994</v>
      </c>
      <c r="I23" s="25">
        <f t="shared" si="9"/>
        <v>407709.30199999997</v>
      </c>
      <c r="J23" s="25">
        <f t="shared" si="10"/>
        <v>404439.47339795996</v>
      </c>
      <c r="K23" s="25">
        <f t="shared" si="14"/>
        <v>408524.72060399997</v>
      </c>
      <c r="L23" s="25">
        <f t="shared" si="12"/>
        <v>405248.3523447559</v>
      </c>
      <c r="M23" s="26">
        <f t="shared" si="15"/>
        <v>409341.77004520799</v>
      </c>
    </row>
    <row r="24" spans="1:13" s="27" customFormat="1" ht="15.6" x14ac:dyDescent="0.25">
      <c r="A24" s="36" t="s">
        <v>47</v>
      </c>
      <c r="B24" s="31" t="s">
        <v>50</v>
      </c>
      <c r="C24" s="24" t="s">
        <v>31</v>
      </c>
      <c r="D24" s="25">
        <v>20130</v>
      </c>
      <c r="E24" s="25">
        <f>18300/12*12</f>
        <v>18300</v>
      </c>
      <c r="F24" s="25">
        <v>13600</v>
      </c>
      <c r="G24" s="25">
        <v>13600</v>
      </c>
      <c r="H24" s="25">
        <f t="shared" si="8"/>
        <v>13477.463999999998</v>
      </c>
      <c r="I24" s="25">
        <f t="shared" si="9"/>
        <v>13613.599999999999</v>
      </c>
      <c r="J24" s="25">
        <f t="shared" si="10"/>
        <v>13504.418927999997</v>
      </c>
      <c r="K24" s="25">
        <f t="shared" si="14"/>
        <v>13640.827199999998</v>
      </c>
      <c r="L24" s="25">
        <f t="shared" si="12"/>
        <v>13531.427765855997</v>
      </c>
      <c r="M24" s="26">
        <f t="shared" si="15"/>
        <v>13668.108854399998</v>
      </c>
    </row>
    <row r="25" spans="1:13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38"/>
      <c r="G25" s="38"/>
      <c r="H25" s="38"/>
      <c r="I25" s="38"/>
      <c r="J25" s="38"/>
      <c r="K25" s="38"/>
      <c r="L25" s="38"/>
      <c r="M25" s="103"/>
    </row>
    <row r="26" spans="1:13" s="27" customFormat="1" ht="15.6" x14ac:dyDescent="0.25">
      <c r="A26" s="22"/>
      <c r="B26" s="29" t="s">
        <v>54</v>
      </c>
      <c r="C26" s="24" t="s">
        <v>55</v>
      </c>
      <c r="D26" s="39">
        <v>43.3</v>
      </c>
      <c r="E26" s="39">
        <f>43.3/12*12</f>
        <v>43.3</v>
      </c>
      <c r="F26" s="39">
        <v>43.3</v>
      </c>
      <c r="G26" s="39">
        <v>43.3</v>
      </c>
      <c r="H26" s="28">
        <f>I26*0.99</f>
        <v>42.909866999999991</v>
      </c>
      <c r="I26" s="39">
        <f>G26*100.1%</f>
        <v>43.343299999999992</v>
      </c>
      <c r="J26" s="28">
        <f>K26*0.99</f>
        <v>42.995686733999989</v>
      </c>
      <c r="K26" s="28">
        <f t="shared" ref="K26:K27" si="16">I26*100.2%</f>
        <v>43.429986599999992</v>
      </c>
      <c r="L26" s="28">
        <f>M26*0.99</f>
        <v>43.081678107467994</v>
      </c>
      <c r="M26" s="40">
        <f t="shared" ref="M26:M27" si="17">K26*100.2%</f>
        <v>43.516846573199992</v>
      </c>
    </row>
    <row r="27" spans="1:13" s="27" customFormat="1" ht="15.6" x14ac:dyDescent="0.25">
      <c r="A27" s="22"/>
      <c r="B27" s="29" t="s">
        <v>56</v>
      </c>
      <c r="C27" s="24" t="s">
        <v>57</v>
      </c>
      <c r="D27" s="39">
        <v>409.6</v>
      </c>
      <c r="E27" s="39">
        <f>409.6/12*12</f>
        <v>409.6</v>
      </c>
      <c r="F27" s="39">
        <v>409.6</v>
      </c>
      <c r="G27" s="39">
        <v>409.6</v>
      </c>
      <c r="H27" s="28">
        <f>I27*0.99</f>
        <v>405.90950399999997</v>
      </c>
      <c r="I27" s="39">
        <f>G27*100.1%</f>
        <v>410.00959999999998</v>
      </c>
      <c r="J27" s="28">
        <f>K27*0.99</f>
        <v>406.72132300799996</v>
      </c>
      <c r="K27" s="28">
        <f t="shared" si="16"/>
        <v>410.82961919999997</v>
      </c>
      <c r="L27" s="28">
        <f>M27*0.99</f>
        <v>407.53476565401598</v>
      </c>
      <c r="M27" s="40">
        <f t="shared" si="17"/>
        <v>411.65127843839997</v>
      </c>
    </row>
    <row r="28" spans="1:13" s="27" customFormat="1" ht="15.6" x14ac:dyDescent="0.25">
      <c r="A28" s="41" t="s">
        <v>58</v>
      </c>
      <c r="B28" s="29" t="s">
        <v>59</v>
      </c>
      <c r="C28" s="24" t="s">
        <v>60</v>
      </c>
      <c r="D28" s="42">
        <v>0</v>
      </c>
      <c r="E28" s="42">
        <v>0</v>
      </c>
      <c r="F28" s="42">
        <v>0</v>
      </c>
      <c r="G28" s="42">
        <v>0</v>
      </c>
      <c r="H28" s="43">
        <f t="shared" ref="H28" si="18">G28*102%</f>
        <v>0</v>
      </c>
      <c r="I28" s="42">
        <f>G28*1</f>
        <v>0</v>
      </c>
      <c r="J28" s="42">
        <f>H28*1.005</f>
        <v>0</v>
      </c>
      <c r="K28" s="42">
        <f>I28*1.005</f>
        <v>0</v>
      </c>
      <c r="L28" s="42">
        <f>J28*1.006</f>
        <v>0</v>
      </c>
      <c r="M28" s="44">
        <f>K28*1.006</f>
        <v>0</v>
      </c>
    </row>
    <row r="29" spans="1:13" s="27" customFormat="1" ht="15.6" x14ac:dyDescent="0.25">
      <c r="A29" s="22" t="s">
        <v>61</v>
      </c>
      <c r="B29" s="29" t="s">
        <v>42</v>
      </c>
      <c r="C29" s="24" t="s">
        <v>62</v>
      </c>
      <c r="D29" s="102">
        <v>2526</v>
      </c>
      <c r="E29" s="102">
        <v>2238</v>
      </c>
      <c r="F29" s="25">
        <v>2625</v>
      </c>
      <c r="G29" s="25">
        <v>2625</v>
      </c>
      <c r="H29" s="25">
        <f>I29*0.99</f>
        <v>2601.3487499999997</v>
      </c>
      <c r="I29" s="25">
        <f>G29*100.1%</f>
        <v>2627.6249999999995</v>
      </c>
      <c r="J29" s="25">
        <f>K29*0.99</f>
        <v>2606.5514474999995</v>
      </c>
      <c r="K29" s="25">
        <f t="shared" ref="K29:K33" si="19">I29*100.2%</f>
        <v>2632.8802499999997</v>
      </c>
      <c r="L29" s="25">
        <f>M29*0.99</f>
        <v>2611.7645503949998</v>
      </c>
      <c r="M29" s="26">
        <f t="shared" ref="M29:M33" si="20">K29*100.2%</f>
        <v>2638.1460104999996</v>
      </c>
    </row>
    <row r="30" spans="1:13" s="27" customFormat="1" ht="15.6" x14ac:dyDescent="0.25">
      <c r="A30" s="22" t="s">
        <v>63</v>
      </c>
      <c r="B30" s="31" t="s">
        <v>44</v>
      </c>
      <c r="C30" s="24" t="s">
        <v>64</v>
      </c>
      <c r="D30" s="25">
        <v>51000</v>
      </c>
      <c r="E30" s="25">
        <f>51000/12*12</f>
        <v>51000</v>
      </c>
      <c r="F30" s="25">
        <v>68000</v>
      </c>
      <c r="G30" s="25">
        <v>68000</v>
      </c>
      <c r="H30" s="25">
        <f>I30*0.99</f>
        <v>67387.319999999978</v>
      </c>
      <c r="I30" s="25">
        <f>G30*100.1%</f>
        <v>68067.999999999985</v>
      </c>
      <c r="J30" s="25">
        <f>K30*0.99</f>
        <v>67522.094639999981</v>
      </c>
      <c r="K30" s="25">
        <f t="shared" si="19"/>
        <v>68204.135999999984</v>
      </c>
      <c r="L30" s="25">
        <f>M30*0.99</f>
        <v>67657.138829279982</v>
      </c>
      <c r="M30" s="26">
        <f t="shared" si="20"/>
        <v>68340.544271999985</v>
      </c>
    </row>
    <row r="31" spans="1:13" s="27" customFormat="1" ht="15.6" x14ac:dyDescent="0.25">
      <c r="A31" s="22" t="s">
        <v>65</v>
      </c>
      <c r="B31" s="31" t="s">
        <v>46</v>
      </c>
      <c r="C31" s="24" t="s">
        <v>62</v>
      </c>
      <c r="D31" s="25">
        <v>515</v>
      </c>
      <c r="E31" s="25">
        <f>495/12*12</f>
        <v>495</v>
      </c>
      <c r="F31" s="25">
        <v>495</v>
      </c>
      <c r="G31" s="25">
        <v>501</v>
      </c>
      <c r="H31" s="25">
        <f>I31*0.99</f>
        <v>496.4859899999999</v>
      </c>
      <c r="I31" s="25">
        <f>G31*100.1%</f>
        <v>501.50099999999992</v>
      </c>
      <c r="J31" s="25">
        <f>K31*0.99</f>
        <v>497.47896197999989</v>
      </c>
      <c r="K31" s="25">
        <f t="shared" si="19"/>
        <v>502.5040019999999</v>
      </c>
      <c r="L31" s="25">
        <f>M31*0.99</f>
        <v>498.47391990395988</v>
      </c>
      <c r="M31" s="26">
        <f t="shared" si="20"/>
        <v>503.50901000399989</v>
      </c>
    </row>
    <row r="32" spans="1:13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>
        <v>59892</v>
      </c>
      <c r="F32" s="25">
        <v>59900</v>
      </c>
      <c r="G32" s="25">
        <v>59900</v>
      </c>
      <c r="H32" s="25">
        <f>I32*0.99</f>
        <v>59360.300999999992</v>
      </c>
      <c r="I32" s="25">
        <f>G32*100.1%</f>
        <v>59959.899999999994</v>
      </c>
      <c r="J32" s="25">
        <f>K32*0.99</f>
        <v>59479.021601999993</v>
      </c>
      <c r="K32" s="25">
        <f t="shared" si="19"/>
        <v>60079.819799999997</v>
      </c>
      <c r="L32" s="25">
        <f>M32*0.99</f>
        <v>59597.979645204003</v>
      </c>
      <c r="M32" s="26">
        <f t="shared" si="20"/>
        <v>60199.9794396</v>
      </c>
    </row>
    <row r="33" spans="1:13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/>
      <c r="E33" s="33">
        <v>587.38400000000001</v>
      </c>
      <c r="F33" s="33">
        <v>587.39</v>
      </c>
      <c r="G33" s="33">
        <v>587.39</v>
      </c>
      <c r="H33" s="33">
        <f>I33*0.99</f>
        <v>582.09761609999987</v>
      </c>
      <c r="I33" s="33">
        <f>G33*100.1%</f>
        <v>587.9773899999999</v>
      </c>
      <c r="J33" s="33">
        <f>K33*0.99</f>
        <v>583.26181133219984</v>
      </c>
      <c r="K33" s="33">
        <f t="shared" si="19"/>
        <v>589.15334477999988</v>
      </c>
      <c r="L33" s="33">
        <f>M33*0.99</f>
        <v>584.42833495486434</v>
      </c>
      <c r="M33" s="46">
        <f t="shared" si="20"/>
        <v>590.33165146955992</v>
      </c>
    </row>
    <row r="34" spans="1:13" s="27" customFormat="1" ht="31.2" x14ac:dyDescent="0.25">
      <c r="A34" s="47" t="s">
        <v>69</v>
      </c>
      <c r="B34" s="48" t="s">
        <v>70</v>
      </c>
      <c r="C34" s="24"/>
      <c r="D34" s="25"/>
      <c r="E34" s="38"/>
      <c r="F34" s="38"/>
      <c r="G34" s="38"/>
      <c r="H34" s="38"/>
      <c r="I34" s="38"/>
      <c r="J34" s="38"/>
      <c r="K34" s="38"/>
      <c r="L34" s="38"/>
      <c r="M34" s="103"/>
    </row>
    <row r="35" spans="1:13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38"/>
      <c r="F35" s="38"/>
      <c r="G35" s="38"/>
      <c r="H35" s="38"/>
      <c r="I35" s="38"/>
      <c r="J35" s="38"/>
      <c r="K35" s="38"/>
      <c r="L35" s="38"/>
      <c r="M35" s="103"/>
    </row>
    <row r="36" spans="1:13" s="27" customFormat="1" ht="15.6" x14ac:dyDescent="0.25">
      <c r="A36" s="22"/>
      <c r="B36" s="29" t="s">
        <v>72</v>
      </c>
      <c r="C36" s="24" t="s">
        <v>73</v>
      </c>
      <c r="D36" s="33">
        <v>0</v>
      </c>
      <c r="E36" s="33">
        <v>0</v>
      </c>
      <c r="F36" s="33">
        <v>0</v>
      </c>
      <c r="G36" s="33">
        <v>0</v>
      </c>
      <c r="H36" s="33">
        <v>0</v>
      </c>
      <c r="I36" s="33">
        <v>1.1000000000000001</v>
      </c>
      <c r="J36" s="33">
        <f>H36*102%</f>
        <v>0</v>
      </c>
      <c r="K36" s="33">
        <f>I36*1.05</f>
        <v>1.1550000000000002</v>
      </c>
      <c r="L36" s="33">
        <f>J36*102%</f>
        <v>0</v>
      </c>
      <c r="M36" s="46">
        <f>K36*1.06</f>
        <v>1.2243000000000004</v>
      </c>
    </row>
    <row r="37" spans="1:13" s="27" customFormat="1" ht="15.6" hidden="1" outlineLevel="1" x14ac:dyDescent="0.25">
      <c r="A37" s="22"/>
      <c r="B37" s="29" t="s">
        <v>74</v>
      </c>
      <c r="C37" s="24"/>
      <c r="D37" s="50"/>
      <c r="E37" s="50"/>
      <c r="F37" s="50"/>
      <c r="G37" s="50"/>
      <c r="H37" s="113"/>
      <c r="I37" s="113"/>
      <c r="J37" s="115">
        <f t="shared" ref="J37:J43" si="21">H37*1.015</f>
        <v>0</v>
      </c>
      <c r="K37" s="115">
        <f t="shared" ref="K37:K43" si="22">I37*1.02</f>
        <v>0</v>
      </c>
      <c r="L37" s="115">
        <f t="shared" ref="L37:M43" si="23">J37*1.017</f>
        <v>0</v>
      </c>
      <c r="M37" s="116">
        <f t="shared" si="23"/>
        <v>0</v>
      </c>
    </row>
    <row r="38" spans="1:13" s="27" customFormat="1" ht="15.6" hidden="1" outlineLevel="1" x14ac:dyDescent="0.25">
      <c r="A38" s="22"/>
      <c r="B38" s="29" t="s">
        <v>75</v>
      </c>
      <c r="C38" s="24" t="s">
        <v>76</v>
      </c>
      <c r="D38" s="50"/>
      <c r="E38" s="50"/>
      <c r="F38" s="50"/>
      <c r="G38" s="50"/>
      <c r="H38" s="113"/>
      <c r="I38" s="113"/>
      <c r="J38" s="115">
        <f t="shared" si="21"/>
        <v>0</v>
      </c>
      <c r="K38" s="115">
        <f t="shared" si="22"/>
        <v>0</v>
      </c>
      <c r="L38" s="115">
        <f t="shared" si="23"/>
        <v>0</v>
      </c>
      <c r="M38" s="116">
        <f t="shared" si="23"/>
        <v>0</v>
      </c>
    </row>
    <row r="39" spans="1:13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0"/>
      <c r="E39" s="50">
        <v>0</v>
      </c>
      <c r="F39" s="50">
        <v>0</v>
      </c>
      <c r="G39" s="50">
        <v>0</v>
      </c>
      <c r="H39" s="113">
        <v>3</v>
      </c>
      <c r="I39" s="113">
        <v>0</v>
      </c>
      <c r="J39" s="115">
        <f t="shared" si="21"/>
        <v>3.0449999999999999</v>
      </c>
      <c r="K39" s="115">
        <f t="shared" si="22"/>
        <v>0</v>
      </c>
      <c r="L39" s="115">
        <f t="shared" si="23"/>
        <v>3.0967649999999995</v>
      </c>
      <c r="M39" s="116">
        <f t="shared" si="23"/>
        <v>0</v>
      </c>
    </row>
    <row r="40" spans="1:13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0"/>
      <c r="E40" s="50"/>
      <c r="F40" s="50"/>
      <c r="G40" s="50"/>
      <c r="H40" s="113"/>
      <c r="I40" s="113"/>
      <c r="J40" s="115">
        <f t="shared" si="21"/>
        <v>0</v>
      </c>
      <c r="K40" s="115">
        <f t="shared" si="22"/>
        <v>0</v>
      </c>
      <c r="L40" s="115">
        <f t="shared" si="23"/>
        <v>0</v>
      </c>
      <c r="M40" s="116">
        <f t="shared" si="23"/>
        <v>0</v>
      </c>
    </row>
    <row r="41" spans="1:13" s="27" customFormat="1" ht="15.6" hidden="1" outlineLevel="1" x14ac:dyDescent="0.25">
      <c r="A41" s="30"/>
      <c r="B41" s="31" t="s">
        <v>74</v>
      </c>
      <c r="C41" s="53" t="s">
        <v>73</v>
      </c>
      <c r="D41" s="50"/>
      <c r="E41" s="50"/>
      <c r="F41" s="50"/>
      <c r="G41" s="50"/>
      <c r="H41" s="113"/>
      <c r="I41" s="113"/>
      <c r="J41" s="115">
        <f t="shared" si="21"/>
        <v>0</v>
      </c>
      <c r="K41" s="115">
        <f t="shared" si="22"/>
        <v>0</v>
      </c>
      <c r="L41" s="115">
        <f t="shared" si="23"/>
        <v>0</v>
      </c>
      <c r="M41" s="116">
        <f t="shared" si="23"/>
        <v>0</v>
      </c>
    </row>
    <row r="42" spans="1:13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0"/>
      <c r="E42" s="50">
        <v>0</v>
      </c>
      <c r="F42" s="50">
        <v>0</v>
      </c>
      <c r="G42" s="50">
        <v>0</v>
      </c>
      <c r="H42" s="113">
        <v>0</v>
      </c>
      <c r="I42" s="113">
        <v>0</v>
      </c>
      <c r="J42" s="115">
        <f t="shared" si="21"/>
        <v>0</v>
      </c>
      <c r="K42" s="115">
        <f t="shared" si="22"/>
        <v>0</v>
      </c>
      <c r="L42" s="115">
        <f t="shared" si="23"/>
        <v>0</v>
      </c>
      <c r="M42" s="116">
        <f t="shared" si="23"/>
        <v>0</v>
      </c>
    </row>
    <row r="43" spans="1:13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0"/>
      <c r="E43" s="50">
        <v>0</v>
      </c>
      <c r="F43" s="50">
        <v>0</v>
      </c>
      <c r="G43" s="50">
        <v>0</v>
      </c>
      <c r="H43" s="113">
        <v>0</v>
      </c>
      <c r="I43" s="113">
        <v>0</v>
      </c>
      <c r="J43" s="115">
        <f t="shared" si="21"/>
        <v>0</v>
      </c>
      <c r="K43" s="115">
        <f t="shared" si="22"/>
        <v>0</v>
      </c>
      <c r="L43" s="115">
        <f t="shared" si="23"/>
        <v>0</v>
      </c>
      <c r="M43" s="116">
        <f t="shared" si="23"/>
        <v>0</v>
      </c>
    </row>
    <row r="44" spans="1:13" s="27" customFormat="1" ht="15.6" hidden="1" outlineLevel="1" x14ac:dyDescent="0.25">
      <c r="A44" s="30" t="s">
        <v>43</v>
      </c>
      <c r="B44" s="31" t="s">
        <v>81</v>
      </c>
      <c r="C44" s="53"/>
      <c r="D44" s="50"/>
      <c r="E44" s="50"/>
      <c r="F44" s="50"/>
      <c r="G44" s="50"/>
      <c r="H44" s="113"/>
      <c r="I44" s="113"/>
      <c r="J44" s="115">
        <f t="shared" ref="J44:J46" si="24">K44*0.98</f>
        <v>0</v>
      </c>
      <c r="K44" s="115">
        <f>I44*1.043</f>
        <v>0</v>
      </c>
      <c r="L44" s="115">
        <f t="shared" ref="L44:L46" si="25">M44*0.98</f>
        <v>0</v>
      </c>
      <c r="M44" s="116">
        <f>K44*1.043</f>
        <v>0</v>
      </c>
    </row>
    <row r="45" spans="1:13" s="27" customFormat="1" ht="15.6" hidden="1" outlineLevel="1" x14ac:dyDescent="0.25">
      <c r="A45" s="30"/>
      <c r="B45" s="31" t="s">
        <v>82</v>
      </c>
      <c r="C45" s="53" t="s">
        <v>73</v>
      </c>
      <c r="D45" s="50"/>
      <c r="E45" s="50"/>
      <c r="F45" s="50"/>
      <c r="G45" s="50"/>
      <c r="H45" s="113"/>
      <c r="I45" s="113"/>
      <c r="J45" s="115">
        <f t="shared" si="24"/>
        <v>0</v>
      </c>
      <c r="K45" s="115">
        <f>I45*1.043</f>
        <v>0</v>
      </c>
      <c r="L45" s="115">
        <f t="shared" si="25"/>
        <v>0</v>
      </c>
      <c r="M45" s="116">
        <f>K45*1.043</f>
        <v>0</v>
      </c>
    </row>
    <row r="46" spans="1:13" s="27" customFormat="1" ht="15.6" hidden="1" outlineLevel="1" x14ac:dyDescent="0.25">
      <c r="A46" s="30"/>
      <c r="B46" s="31" t="s">
        <v>83</v>
      </c>
      <c r="C46" s="53" t="s">
        <v>76</v>
      </c>
      <c r="D46" s="50"/>
      <c r="E46" s="50"/>
      <c r="F46" s="50"/>
      <c r="G46" s="50"/>
      <c r="H46" s="113"/>
      <c r="I46" s="113"/>
      <c r="J46" s="115">
        <f t="shared" si="24"/>
        <v>0</v>
      </c>
      <c r="K46" s="115">
        <f>I46*1.043</f>
        <v>0</v>
      </c>
      <c r="L46" s="115">
        <f t="shared" si="25"/>
        <v>0</v>
      </c>
      <c r="M46" s="116">
        <f>K46*1.043</f>
        <v>0</v>
      </c>
    </row>
    <row r="47" spans="1:13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26">D48+D50+D51+D52</f>
        <v>0</v>
      </c>
      <c r="E47" s="33">
        <f t="shared" si="26"/>
        <v>0</v>
      </c>
      <c r="F47" s="33">
        <f t="shared" si="26"/>
        <v>0</v>
      </c>
      <c r="G47" s="33">
        <f t="shared" si="26"/>
        <v>0</v>
      </c>
      <c r="H47" s="33">
        <f>H48+H50+H51+H52</f>
        <v>2200</v>
      </c>
      <c r="I47" s="33">
        <f t="shared" ref="I47:M47" si="27">I48+I50+I51+I52</f>
        <v>2651</v>
      </c>
      <c r="J47" s="33">
        <f t="shared" si="27"/>
        <v>2200</v>
      </c>
      <c r="K47" s="33">
        <f t="shared" si="27"/>
        <v>2676.6219999999998</v>
      </c>
      <c r="L47" s="33">
        <f t="shared" si="27"/>
        <v>2200</v>
      </c>
      <c r="M47" s="46">
        <f t="shared" si="27"/>
        <v>2726.6462219999994</v>
      </c>
    </row>
    <row r="48" spans="1:13" s="27" customFormat="1" ht="15.6" x14ac:dyDescent="0.25">
      <c r="A48" s="30"/>
      <c r="B48" s="31" t="s">
        <v>85</v>
      </c>
      <c r="C48" s="53" t="s">
        <v>31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429</v>
      </c>
      <c r="J48" s="54">
        <v>0</v>
      </c>
      <c r="K48" s="54">
        <v>452.4</v>
      </c>
      <c r="L48" s="54">
        <f>J48*1.05</f>
        <v>0</v>
      </c>
      <c r="M48" s="56">
        <v>500.2</v>
      </c>
    </row>
    <row r="49" spans="1:14" s="27" customFormat="1" ht="15.6" hidden="1" outlineLevel="1" x14ac:dyDescent="0.25">
      <c r="A49" s="30"/>
      <c r="B49" s="31" t="s">
        <v>82</v>
      </c>
      <c r="C49" s="53" t="s">
        <v>31</v>
      </c>
      <c r="D49" s="54"/>
      <c r="E49" s="54">
        <v>0</v>
      </c>
      <c r="F49" s="54">
        <v>0</v>
      </c>
      <c r="G49" s="54">
        <v>0</v>
      </c>
      <c r="H49" s="54">
        <v>0</v>
      </c>
      <c r="I49" s="54">
        <f>I36*0.35</f>
        <v>0.38500000000000001</v>
      </c>
      <c r="J49" s="54">
        <f t="shared" ref="J49:J51" si="28">H49*1.015</f>
        <v>0</v>
      </c>
      <c r="K49" s="54">
        <f>I49*1.03</f>
        <v>0.39655000000000001</v>
      </c>
      <c r="L49" s="54">
        <f t="shared" ref="L49:M51" si="29">J49*1.017</f>
        <v>0</v>
      </c>
      <c r="M49" s="56">
        <f>K49*1.04</f>
        <v>0.412412</v>
      </c>
    </row>
    <row r="50" spans="1:14" s="27" customFormat="1" ht="15.6" hidden="1" outlineLevel="1" x14ac:dyDescent="0.25">
      <c r="A50" s="30"/>
      <c r="B50" s="31" t="s">
        <v>74</v>
      </c>
      <c r="C50" s="53" t="s">
        <v>31</v>
      </c>
      <c r="D50" s="54"/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f t="shared" si="28"/>
        <v>0</v>
      </c>
      <c r="K50" s="54">
        <f t="shared" ref="K50:K51" si="30">I50*1.02</f>
        <v>0</v>
      </c>
      <c r="L50" s="54">
        <f t="shared" si="29"/>
        <v>0</v>
      </c>
      <c r="M50" s="56">
        <f t="shared" si="29"/>
        <v>0</v>
      </c>
    </row>
    <row r="51" spans="1:14" s="27" customFormat="1" ht="15.6" hidden="1" outlineLevel="1" x14ac:dyDescent="0.25">
      <c r="A51" s="30"/>
      <c r="B51" s="31" t="s">
        <v>83</v>
      </c>
      <c r="C51" s="53" t="s">
        <v>31</v>
      </c>
      <c r="D51" s="54"/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f t="shared" si="28"/>
        <v>0</v>
      </c>
      <c r="K51" s="54">
        <f t="shared" si="30"/>
        <v>0</v>
      </c>
      <c r="L51" s="54">
        <f t="shared" si="29"/>
        <v>0</v>
      </c>
      <c r="M51" s="56">
        <f t="shared" si="29"/>
        <v>0</v>
      </c>
    </row>
    <row r="52" spans="1:14" s="27" customFormat="1" ht="15.6" collapsed="1" x14ac:dyDescent="0.25">
      <c r="A52" s="30"/>
      <c r="B52" s="31" t="s">
        <v>86</v>
      </c>
      <c r="C52" s="53" t="s">
        <v>31</v>
      </c>
      <c r="D52" s="54">
        <v>0</v>
      </c>
      <c r="E52" s="54">
        <v>0</v>
      </c>
      <c r="F52" s="54">
        <v>0</v>
      </c>
      <c r="G52" s="54">
        <v>0</v>
      </c>
      <c r="H52" s="57">
        <v>2200</v>
      </c>
      <c r="I52" s="54">
        <f>H52*1.01</f>
        <v>2222</v>
      </c>
      <c r="J52" s="54">
        <v>2200</v>
      </c>
      <c r="K52" s="54">
        <f>I52*1.001</f>
        <v>2224.2219999999998</v>
      </c>
      <c r="L52" s="54">
        <f>J52</f>
        <v>2200</v>
      </c>
      <c r="M52" s="56">
        <f>K52*1.001</f>
        <v>2226.4462219999996</v>
      </c>
    </row>
    <row r="53" spans="1:14" s="27" customFormat="1" ht="15.6" x14ac:dyDescent="0.25">
      <c r="A53" s="47" t="s">
        <v>87</v>
      </c>
      <c r="B53" s="58" t="s">
        <v>88</v>
      </c>
      <c r="C53" s="24"/>
      <c r="D53" s="59"/>
      <c r="E53" s="60"/>
      <c r="F53" s="60"/>
      <c r="G53" s="59"/>
      <c r="H53" s="60"/>
      <c r="I53" s="60"/>
      <c r="J53" s="60"/>
      <c r="K53" s="60"/>
      <c r="L53" s="60"/>
      <c r="M53" s="106"/>
    </row>
    <row r="54" spans="1:14" s="27" customFormat="1" ht="15.6" x14ac:dyDescent="0.25">
      <c r="A54" s="22" t="s">
        <v>29</v>
      </c>
      <c r="B54" s="62" t="s">
        <v>89</v>
      </c>
      <c r="C54" s="24" t="s">
        <v>90</v>
      </c>
      <c r="D54" s="49">
        <v>3.5339999999999998</v>
      </c>
      <c r="E54" s="49">
        <v>3.3330000000000002</v>
      </c>
      <c r="F54" s="63">
        <v>3.302</v>
      </c>
      <c r="G54" s="49">
        <v>3.4340000000000002</v>
      </c>
      <c r="H54" s="49">
        <v>3.1</v>
      </c>
      <c r="I54" s="49">
        <v>3.42</v>
      </c>
      <c r="J54" s="49">
        <f>H54*100.3%</f>
        <v>3.1092999999999997</v>
      </c>
      <c r="K54" s="49">
        <v>3.4249999999999998</v>
      </c>
      <c r="L54" s="49">
        <f>J54*100.3%</f>
        <v>3.1186278999999995</v>
      </c>
      <c r="M54" s="64">
        <f>K54*100.2%</f>
        <v>3.4318499999999998</v>
      </c>
    </row>
    <row r="55" spans="1:14" s="27" customFormat="1" ht="15.6" x14ac:dyDescent="0.25">
      <c r="A55" s="22" t="s">
        <v>51</v>
      </c>
      <c r="B55" s="62" t="s">
        <v>91</v>
      </c>
      <c r="C55" s="24" t="s">
        <v>90</v>
      </c>
      <c r="D55" s="49">
        <v>0.26400000000000001</v>
      </c>
      <c r="E55" s="49">
        <v>0.20799999999999999</v>
      </c>
      <c r="F55" s="49">
        <v>0.21</v>
      </c>
      <c r="G55" s="49">
        <v>0.245</v>
      </c>
      <c r="H55" s="49">
        <v>0.20499999999999999</v>
      </c>
      <c r="I55" s="49">
        <v>0.215</v>
      </c>
      <c r="J55" s="49">
        <f t="shared" ref="J55:M56" si="31">H55*100.8%</f>
        <v>0.20663999999999999</v>
      </c>
      <c r="K55" s="49">
        <f t="shared" si="31"/>
        <v>0.21672</v>
      </c>
      <c r="L55" s="49">
        <f t="shared" si="31"/>
        <v>0.20829312</v>
      </c>
      <c r="M55" s="64">
        <f t="shared" si="31"/>
        <v>0.21845376</v>
      </c>
    </row>
    <row r="56" spans="1:14" s="27" customFormat="1" ht="15.6" x14ac:dyDescent="0.25">
      <c r="A56" s="22" t="s">
        <v>58</v>
      </c>
      <c r="B56" s="62" t="s">
        <v>92</v>
      </c>
      <c r="C56" s="24" t="s">
        <v>90</v>
      </c>
      <c r="D56" s="49">
        <v>0.20699999999999999</v>
      </c>
      <c r="E56" s="49">
        <v>0.19500000000000001</v>
      </c>
      <c r="F56" s="49">
        <v>0.20899999999999999</v>
      </c>
      <c r="G56" s="49">
        <v>0.189</v>
      </c>
      <c r="H56" s="49">
        <v>0.192</v>
      </c>
      <c r="I56" s="49">
        <f>G56*100.5%</f>
        <v>0.18994499999999997</v>
      </c>
      <c r="J56" s="49">
        <f t="shared" si="31"/>
        <v>0.19353600000000001</v>
      </c>
      <c r="K56" s="49">
        <v>0.189</v>
      </c>
      <c r="L56" s="49">
        <f t="shared" si="31"/>
        <v>0.19508428800000002</v>
      </c>
      <c r="M56" s="64">
        <v>0.185</v>
      </c>
      <c r="N56" s="27">
        <v>0.16</v>
      </c>
    </row>
    <row r="57" spans="1:14" s="27" customFormat="1" ht="15.6" x14ac:dyDescent="0.25">
      <c r="A57" s="22" t="s">
        <v>61</v>
      </c>
      <c r="B57" s="62" t="s">
        <v>93</v>
      </c>
      <c r="C57" s="24" t="s">
        <v>90</v>
      </c>
      <c r="D57" s="49">
        <v>5.7000000000000023E-2</v>
      </c>
      <c r="E57" s="65">
        <f>E55-E56</f>
        <v>1.2999999999999984E-2</v>
      </c>
      <c r="F57" s="63">
        <f>F55-F56</f>
        <v>1.0000000000000009E-3</v>
      </c>
      <c r="G57" s="65">
        <f>G55-G56</f>
        <v>5.5999999999999994E-2</v>
      </c>
      <c r="H57" s="49">
        <f>H55-H56</f>
        <v>1.2999999999999984E-2</v>
      </c>
      <c r="I57" s="49">
        <f t="shared" ref="I57:M57" si="32">I55-I56</f>
        <v>2.5055000000000022E-2</v>
      </c>
      <c r="J57" s="49">
        <f t="shared" si="32"/>
        <v>1.3103999999999977E-2</v>
      </c>
      <c r="K57" s="49">
        <f t="shared" si="32"/>
        <v>2.7719999999999995E-2</v>
      </c>
      <c r="L57" s="49">
        <f t="shared" si="32"/>
        <v>1.3208831999999976E-2</v>
      </c>
      <c r="M57" s="64">
        <f t="shared" si="32"/>
        <v>3.3453759999999999E-2</v>
      </c>
    </row>
    <row r="58" spans="1:14" s="27" customFormat="1" ht="15.6" x14ac:dyDescent="0.25">
      <c r="A58" s="22" t="s">
        <v>63</v>
      </c>
      <c r="B58" s="62" t="s">
        <v>94</v>
      </c>
      <c r="C58" s="24" t="s">
        <v>90</v>
      </c>
      <c r="D58" s="49">
        <v>1.7000000000000001E-2</v>
      </c>
      <c r="E58" s="65">
        <v>-3.0000000000000001E-3</v>
      </c>
      <c r="F58" s="65">
        <v>1.7000000000000001E-2</v>
      </c>
      <c r="G58" s="65">
        <v>1.0999999999999999E-2</v>
      </c>
      <c r="H58" s="65">
        <v>1.0999999999999999E-2</v>
      </c>
      <c r="I58" s="65">
        <v>1.4999999999999999E-2</v>
      </c>
      <c r="J58" s="65">
        <v>1.2E-2</v>
      </c>
      <c r="K58" s="65">
        <v>1.6E-2</v>
      </c>
      <c r="L58" s="65">
        <v>1.2999999999999999E-2</v>
      </c>
      <c r="M58" s="66">
        <v>1.7999999999999999E-2</v>
      </c>
    </row>
    <row r="59" spans="1:14" s="27" customFormat="1" ht="15.6" x14ac:dyDescent="0.25">
      <c r="A59" s="47" t="s">
        <v>95</v>
      </c>
      <c r="B59" s="58" t="s">
        <v>96</v>
      </c>
      <c r="C59" s="24"/>
      <c r="D59" s="59"/>
      <c r="E59" s="59"/>
      <c r="F59" s="60"/>
      <c r="G59" s="60"/>
      <c r="H59" s="60"/>
      <c r="I59" s="60"/>
      <c r="J59" s="107"/>
      <c r="K59" s="107"/>
      <c r="L59" s="107"/>
      <c r="M59" s="108"/>
    </row>
    <row r="60" spans="1:14" s="27" customFormat="1" ht="15.6" x14ac:dyDescent="0.25">
      <c r="A60" s="22" t="s">
        <v>29</v>
      </c>
      <c r="B60" s="62" t="s">
        <v>97</v>
      </c>
      <c r="C60" s="24" t="s">
        <v>90</v>
      </c>
      <c r="D60" s="65">
        <v>1.7430000000000001</v>
      </c>
      <c r="E60" s="65">
        <v>1.9870000000000001</v>
      </c>
      <c r="F60" s="65">
        <v>1.9810000000000001</v>
      </c>
      <c r="G60" s="65">
        <v>1.9910000000000001</v>
      </c>
      <c r="H60" s="65">
        <v>1.91</v>
      </c>
      <c r="I60" s="65">
        <v>1.95</v>
      </c>
      <c r="J60" s="65">
        <f>H60*1.003</f>
        <v>1.9157299999999997</v>
      </c>
      <c r="K60" s="65">
        <f>I60*1.01</f>
        <v>1.9695</v>
      </c>
      <c r="L60" s="65">
        <f>J60*1.005</f>
        <v>1.9253086499999994</v>
      </c>
      <c r="M60" s="66">
        <v>1.9750000000000001</v>
      </c>
    </row>
    <row r="61" spans="1:14" s="27" customFormat="1" ht="31.2" x14ac:dyDescent="0.25">
      <c r="A61" s="22" t="s">
        <v>51</v>
      </c>
      <c r="B61" s="62" t="s">
        <v>98</v>
      </c>
      <c r="C61" s="24" t="s">
        <v>90</v>
      </c>
      <c r="D61" s="49">
        <v>2.3E-2</v>
      </c>
      <c r="E61" s="65">
        <v>2.3E-2</v>
      </c>
      <c r="F61" s="65">
        <v>1.4E-2</v>
      </c>
      <c r="G61" s="65">
        <v>1.2E-2</v>
      </c>
      <c r="H61" s="65">
        <v>2.1000000000000001E-2</v>
      </c>
      <c r="I61" s="65">
        <v>1.0999999999999999E-2</v>
      </c>
      <c r="J61" s="65">
        <v>2.1999999999999999E-2</v>
      </c>
      <c r="K61" s="65">
        <v>0.01</v>
      </c>
      <c r="L61" s="65">
        <f>J61*1.005</f>
        <v>2.2109999999999998E-2</v>
      </c>
      <c r="M61" s="66">
        <f>K61*1.001</f>
        <v>1.001E-2</v>
      </c>
    </row>
    <row r="62" spans="1:14" s="27" customFormat="1" ht="15.6" x14ac:dyDescent="0.25">
      <c r="A62" s="22" t="s">
        <v>58</v>
      </c>
      <c r="B62" s="62" t="s">
        <v>99</v>
      </c>
      <c r="C62" s="24" t="s">
        <v>100</v>
      </c>
      <c r="D62" s="65">
        <v>2109.1550000000002</v>
      </c>
      <c r="E62" s="65">
        <f>2193.521/12*12</f>
        <v>2193.5210000000002</v>
      </c>
      <c r="F62" s="65">
        <v>2220.549</v>
      </c>
      <c r="G62" s="65">
        <v>2259.3270000000002</v>
      </c>
      <c r="H62" s="65">
        <f>E62*103%</f>
        <v>2259.32663</v>
      </c>
      <c r="I62" s="65">
        <f>G62*103%</f>
        <v>2327.1068100000002</v>
      </c>
      <c r="J62" s="65">
        <f>H62*103.3%</f>
        <v>2333.8844087899997</v>
      </c>
      <c r="K62" s="65">
        <f>I62*103.7%</f>
        <v>2413.2097619700003</v>
      </c>
      <c r="L62" s="65">
        <f>J62*103.7%</f>
        <v>2420.2381319152296</v>
      </c>
      <c r="M62" s="66">
        <f>K62*102%</f>
        <v>2461.4739572094004</v>
      </c>
    </row>
    <row r="63" spans="1:14" s="27" customFormat="1" ht="15.6" x14ac:dyDescent="0.25">
      <c r="A63" s="22" t="s">
        <v>61</v>
      </c>
      <c r="B63" s="62" t="s">
        <v>101</v>
      </c>
      <c r="C63" s="24" t="s">
        <v>100</v>
      </c>
      <c r="D63" s="49">
        <v>1331.8920000000001</v>
      </c>
      <c r="E63" s="49">
        <v>1531.6759999999999</v>
      </c>
      <c r="F63" s="49">
        <v>1731.46</v>
      </c>
      <c r="G63" s="49">
        <v>1771.2840000000001</v>
      </c>
      <c r="H63" s="65">
        <f>G63*102.3%</f>
        <v>1812.0235319999999</v>
      </c>
      <c r="I63" s="65">
        <f>G63*103%</f>
        <v>1824.4225200000001</v>
      </c>
      <c r="J63" s="65">
        <f>H63*102.3%</f>
        <v>1853.7000732359998</v>
      </c>
      <c r="K63" s="65">
        <f>I63*103.7%</f>
        <v>1891.9261532399998</v>
      </c>
      <c r="L63" s="65">
        <f>J63*102.5%</f>
        <v>1900.0425750668996</v>
      </c>
      <c r="M63" s="66">
        <f>K63*102%</f>
        <v>1929.7646763047999</v>
      </c>
    </row>
    <row r="64" spans="1:14" s="27" customFormat="1" ht="15.6" x14ac:dyDescent="0.25">
      <c r="A64" s="22" t="s">
        <v>63</v>
      </c>
      <c r="B64" s="62" t="s">
        <v>102</v>
      </c>
      <c r="C64" s="24" t="s">
        <v>103</v>
      </c>
      <c r="D64" s="49">
        <v>62.499000000000002</v>
      </c>
      <c r="E64" s="65">
        <v>63.915999999999997</v>
      </c>
      <c r="F64" s="65">
        <f>F63/F60/12</f>
        <v>72.836109708901219</v>
      </c>
      <c r="G64" s="65">
        <f>G63/G60/12</f>
        <v>74.137117026619791</v>
      </c>
      <c r="H64" s="65">
        <f>H63/H60/12</f>
        <v>79.058618324607338</v>
      </c>
      <c r="I64" s="65">
        <f>I63/I60/12</f>
        <v>77.966774358974362</v>
      </c>
      <c r="J64" s="65">
        <f t="shared" ref="J64:M64" si="33">J63/J60/12</f>
        <v>80.63506136198734</v>
      </c>
      <c r="K64" s="65">
        <f t="shared" si="33"/>
        <v>80.0510346636202</v>
      </c>
      <c r="L64" s="65">
        <f t="shared" si="33"/>
        <v>82.239739200036851</v>
      </c>
      <c r="M64" s="66">
        <f t="shared" si="33"/>
        <v>81.424669886278465</v>
      </c>
    </row>
    <row r="65" spans="1:13" s="27" customFormat="1" ht="15.6" x14ac:dyDescent="0.25">
      <c r="A65" s="47" t="s">
        <v>104</v>
      </c>
      <c r="B65" s="69" t="s">
        <v>105</v>
      </c>
      <c r="C65" s="70"/>
      <c r="D65" s="49"/>
      <c r="E65" s="71"/>
      <c r="F65" s="71"/>
      <c r="G65" s="71"/>
      <c r="H65" s="71"/>
      <c r="I65" s="71"/>
      <c r="J65" s="71"/>
      <c r="K65" s="71"/>
      <c r="L65" s="71"/>
      <c r="M65" s="109"/>
    </row>
    <row r="66" spans="1:13" s="27" customFormat="1" ht="15.6" x14ac:dyDescent="0.25">
      <c r="A66" s="78" t="s">
        <v>29</v>
      </c>
      <c r="B66" s="31" t="s">
        <v>106</v>
      </c>
      <c r="C66" s="80" t="s">
        <v>107</v>
      </c>
      <c r="D66" s="110">
        <f t="shared" ref="D66:M66" si="34">D67+D75</f>
        <v>119.31</v>
      </c>
      <c r="E66" s="111">
        <f t="shared" si="34"/>
        <v>136.86599999999999</v>
      </c>
      <c r="F66" s="111">
        <f t="shared" si="34"/>
        <v>151.309</v>
      </c>
      <c r="G66" s="111">
        <f t="shared" si="34"/>
        <v>171.19499999999999</v>
      </c>
      <c r="H66" s="111">
        <f t="shared" si="34"/>
        <v>79.920999999999992</v>
      </c>
      <c r="I66" s="111">
        <f t="shared" si="34"/>
        <v>90.015999999999991</v>
      </c>
      <c r="J66" s="111">
        <f t="shared" si="34"/>
        <v>81.72</v>
      </c>
      <c r="K66" s="111">
        <f t="shared" si="34"/>
        <v>90.093999999999994</v>
      </c>
      <c r="L66" s="111">
        <f t="shared" si="34"/>
        <v>82.02000000000001</v>
      </c>
      <c r="M66" s="112">
        <f t="shared" si="34"/>
        <v>90.093999999999994</v>
      </c>
    </row>
    <row r="67" spans="1:13" s="27" customFormat="1" ht="15.6" x14ac:dyDescent="0.25">
      <c r="A67" s="78" t="s">
        <v>32</v>
      </c>
      <c r="B67" s="79" t="s">
        <v>108</v>
      </c>
      <c r="C67" s="80" t="s">
        <v>107</v>
      </c>
      <c r="D67" s="65">
        <f t="shared" ref="D67:M67" si="35">D68+D74</f>
        <v>46.585999999999999</v>
      </c>
      <c r="E67" s="111">
        <f t="shared" si="35"/>
        <v>44.086999999999989</v>
      </c>
      <c r="F67" s="111">
        <f t="shared" si="35"/>
        <v>50.013000000000005</v>
      </c>
      <c r="G67" s="111">
        <f t="shared" si="35"/>
        <v>44.151000000000003</v>
      </c>
      <c r="H67" s="111">
        <f t="shared" si="35"/>
        <v>40.496000000000002</v>
      </c>
      <c r="I67" s="111">
        <f t="shared" si="35"/>
        <v>41.326000000000001</v>
      </c>
      <c r="J67" s="111">
        <f t="shared" si="35"/>
        <v>40.97</v>
      </c>
      <c r="K67" s="111">
        <f t="shared" si="35"/>
        <v>42.034999999999997</v>
      </c>
      <c r="L67" s="111">
        <f t="shared" si="35"/>
        <v>41.220000000000006</v>
      </c>
      <c r="M67" s="112">
        <f t="shared" si="35"/>
        <v>42.034999999999997</v>
      </c>
    </row>
    <row r="68" spans="1:13" s="27" customFormat="1" ht="15.6" x14ac:dyDescent="0.25">
      <c r="A68" s="78" t="s">
        <v>109</v>
      </c>
      <c r="B68" s="31" t="s">
        <v>110</v>
      </c>
      <c r="C68" s="80" t="s">
        <v>107</v>
      </c>
      <c r="D68" s="65">
        <f t="shared" ref="D68:M68" si="36">SUM(D69:D73)</f>
        <v>32.241</v>
      </c>
      <c r="E68" s="111">
        <f t="shared" si="36"/>
        <v>33.98899999999999</v>
      </c>
      <c r="F68" s="111">
        <f t="shared" si="36"/>
        <v>38.331000000000003</v>
      </c>
      <c r="G68" s="111">
        <f t="shared" si="36"/>
        <v>37.118000000000002</v>
      </c>
      <c r="H68" s="111">
        <f t="shared" si="36"/>
        <v>34.496000000000002</v>
      </c>
      <c r="I68" s="111">
        <f t="shared" si="36"/>
        <v>35.213999999999999</v>
      </c>
      <c r="J68" s="111">
        <f t="shared" si="36"/>
        <v>34.92</v>
      </c>
      <c r="K68" s="111">
        <f t="shared" si="36"/>
        <v>35.786999999999999</v>
      </c>
      <c r="L68" s="111">
        <f t="shared" si="36"/>
        <v>35.120000000000005</v>
      </c>
      <c r="M68" s="112">
        <f t="shared" si="36"/>
        <v>35.786999999999999</v>
      </c>
    </row>
    <row r="69" spans="1:13" s="27" customFormat="1" ht="15.6" x14ac:dyDescent="0.25">
      <c r="A69" s="78"/>
      <c r="B69" s="81" t="s">
        <v>111</v>
      </c>
      <c r="C69" s="80" t="s">
        <v>107</v>
      </c>
      <c r="D69" s="65">
        <v>23.117999999999999</v>
      </c>
      <c r="E69" s="65">
        <v>23.766999999999999</v>
      </c>
      <c r="F69" s="65">
        <v>27.579000000000001</v>
      </c>
      <c r="G69" s="65">
        <v>26.3</v>
      </c>
      <c r="H69" s="65">
        <v>24.1</v>
      </c>
      <c r="I69" s="65">
        <v>24.5</v>
      </c>
      <c r="J69" s="65">
        <v>24.3</v>
      </c>
      <c r="K69" s="65">
        <v>25</v>
      </c>
      <c r="L69" s="65">
        <v>24.5</v>
      </c>
      <c r="M69" s="66">
        <v>25</v>
      </c>
    </row>
    <row r="70" spans="1:13" s="27" customFormat="1" ht="15.6" x14ac:dyDescent="0.25">
      <c r="A70" s="78"/>
      <c r="B70" s="81" t="s">
        <v>112</v>
      </c>
      <c r="C70" s="80" t="s">
        <v>107</v>
      </c>
      <c r="D70" s="65">
        <v>4.7889999999999997</v>
      </c>
      <c r="E70" s="65">
        <v>5.7889999999999997</v>
      </c>
      <c r="F70" s="65">
        <v>6.1429999999999998</v>
      </c>
      <c r="G70" s="65">
        <v>6.4459999999999997</v>
      </c>
      <c r="H70" s="65">
        <v>6.1429999999999998</v>
      </c>
      <c r="I70" s="65">
        <v>6.2690000000000001</v>
      </c>
      <c r="J70" s="65">
        <v>6.2</v>
      </c>
      <c r="K70" s="65">
        <v>6.2690000000000001</v>
      </c>
      <c r="L70" s="65">
        <v>6.2</v>
      </c>
      <c r="M70" s="66">
        <v>6.2690000000000001</v>
      </c>
    </row>
    <row r="71" spans="1:13" s="27" customFormat="1" ht="15.6" x14ac:dyDescent="0.25">
      <c r="A71" s="78"/>
      <c r="B71" s="81" t="s">
        <v>113</v>
      </c>
      <c r="C71" s="80" t="s">
        <v>107</v>
      </c>
      <c r="D71" s="65">
        <v>2.3260000000000001</v>
      </c>
      <c r="E71" s="65">
        <v>2.9340000000000002</v>
      </c>
      <c r="F71" s="65">
        <v>2.4660000000000002</v>
      </c>
      <c r="G71" s="65">
        <v>2.85</v>
      </c>
      <c r="H71" s="65">
        <v>2.75</v>
      </c>
      <c r="I71" s="65">
        <v>2.9</v>
      </c>
      <c r="J71" s="65">
        <v>2.9</v>
      </c>
      <c r="K71" s="65">
        <v>2.94</v>
      </c>
      <c r="L71" s="65">
        <v>2.9</v>
      </c>
      <c r="M71" s="66">
        <v>2.94</v>
      </c>
    </row>
    <row r="72" spans="1:13" s="27" customFormat="1" ht="15.6" x14ac:dyDescent="0.25">
      <c r="A72" s="78"/>
      <c r="B72" s="81" t="s">
        <v>114</v>
      </c>
      <c r="C72" s="80" t="s">
        <v>107</v>
      </c>
      <c r="D72" s="65">
        <v>0.22900000000000001</v>
      </c>
      <c r="E72" s="65">
        <v>0.23</v>
      </c>
      <c r="F72" s="65">
        <v>0.25800000000000001</v>
      </c>
      <c r="G72" s="65">
        <v>0.222</v>
      </c>
      <c r="H72" s="65">
        <v>0.20300000000000001</v>
      </c>
      <c r="I72" s="65">
        <v>0.22500000000000001</v>
      </c>
      <c r="J72" s="65">
        <v>0.21</v>
      </c>
      <c r="K72" s="65">
        <v>0.22800000000000001</v>
      </c>
      <c r="L72" s="65">
        <v>0.21</v>
      </c>
      <c r="M72" s="66">
        <v>0.22800000000000001</v>
      </c>
    </row>
    <row r="73" spans="1:13" s="27" customFormat="1" ht="15.6" x14ac:dyDescent="0.25">
      <c r="A73" s="78"/>
      <c r="B73" s="81" t="s">
        <v>115</v>
      </c>
      <c r="C73" s="80" t="s">
        <v>107</v>
      </c>
      <c r="D73" s="65">
        <v>1.7789999999999999</v>
      </c>
      <c r="E73" s="65">
        <v>1.2689999999999999</v>
      </c>
      <c r="F73" s="65">
        <v>1.885</v>
      </c>
      <c r="G73" s="65">
        <v>1.3</v>
      </c>
      <c r="H73" s="65">
        <v>1.3</v>
      </c>
      <c r="I73" s="65">
        <v>1.32</v>
      </c>
      <c r="J73" s="65">
        <v>1.31</v>
      </c>
      <c r="K73" s="65">
        <v>1.35</v>
      </c>
      <c r="L73" s="65">
        <v>1.31</v>
      </c>
      <c r="M73" s="66">
        <v>1.35</v>
      </c>
    </row>
    <row r="74" spans="1:13" s="27" customFormat="1" ht="15.6" x14ac:dyDescent="0.25">
      <c r="A74" s="118" t="s">
        <v>116</v>
      </c>
      <c r="B74" s="31" t="s">
        <v>117</v>
      </c>
      <c r="C74" s="119" t="s">
        <v>107</v>
      </c>
      <c r="D74" s="120">
        <v>14.345000000000001</v>
      </c>
      <c r="E74" s="121">
        <v>10.098000000000001</v>
      </c>
      <c r="F74" s="121">
        <v>11.682</v>
      </c>
      <c r="G74" s="121">
        <v>7.0330000000000004</v>
      </c>
      <c r="H74" s="121">
        <v>6</v>
      </c>
      <c r="I74" s="121">
        <v>6.1120000000000001</v>
      </c>
      <c r="J74" s="121">
        <v>6.05</v>
      </c>
      <c r="K74" s="121">
        <v>6.2480000000000002</v>
      </c>
      <c r="L74" s="121">
        <v>6.1</v>
      </c>
      <c r="M74" s="122">
        <v>6.2480000000000002</v>
      </c>
    </row>
    <row r="75" spans="1:13" s="27" customFormat="1" ht="15.6" x14ac:dyDescent="0.25">
      <c r="A75" s="78" t="s">
        <v>34</v>
      </c>
      <c r="B75" s="79" t="s">
        <v>118</v>
      </c>
      <c r="C75" s="80" t="s">
        <v>107</v>
      </c>
      <c r="D75" s="65">
        <f t="shared" ref="D75:E75" si="37">SUM(D76:D78)</f>
        <v>72.724000000000004</v>
      </c>
      <c r="E75" s="111">
        <f t="shared" si="37"/>
        <v>92.779000000000011</v>
      </c>
      <c r="F75" s="111">
        <f>SUM(F76:F78)+0.5</f>
        <v>101.29599999999999</v>
      </c>
      <c r="G75" s="111">
        <f>SUM(G76:G78)</f>
        <v>127.044</v>
      </c>
      <c r="H75" s="111">
        <f t="shared" ref="H75:J75" si="38">SUM(H76:H78)</f>
        <v>39.424999999999997</v>
      </c>
      <c r="I75" s="111">
        <f t="shared" ref="I75" si="39">SUM(I76:I78)</f>
        <v>48.69</v>
      </c>
      <c r="J75" s="111">
        <f t="shared" si="38"/>
        <v>40.75</v>
      </c>
      <c r="K75" s="111">
        <f t="shared" ref="K75:M75" si="40">SUM(K76:K78)</f>
        <v>48.058999999999997</v>
      </c>
      <c r="L75" s="111">
        <f t="shared" si="40"/>
        <v>40.799999999999997</v>
      </c>
      <c r="M75" s="112">
        <f t="shared" si="40"/>
        <v>48.058999999999997</v>
      </c>
    </row>
    <row r="76" spans="1:13" s="27" customFormat="1" ht="15.6" x14ac:dyDescent="0.25">
      <c r="A76" s="78"/>
      <c r="B76" s="81" t="s">
        <v>119</v>
      </c>
      <c r="C76" s="80" t="s">
        <v>107</v>
      </c>
      <c r="D76" s="65">
        <f>58.07+6.88</f>
        <v>64.95</v>
      </c>
      <c r="E76" s="65">
        <v>84.555000000000007</v>
      </c>
      <c r="F76" s="65">
        <v>91.941999999999993</v>
      </c>
      <c r="G76" s="65">
        <v>119.574</v>
      </c>
      <c r="H76" s="65">
        <v>32.287999999999997</v>
      </c>
      <c r="I76" s="65">
        <v>41.258000000000003</v>
      </c>
      <c r="J76" s="65">
        <v>33</v>
      </c>
      <c r="K76" s="65">
        <v>39.656999999999996</v>
      </c>
      <c r="L76" s="65">
        <v>33</v>
      </c>
      <c r="M76" s="66">
        <v>39.656999999999996</v>
      </c>
    </row>
    <row r="77" spans="1:13" s="27" customFormat="1" ht="15.6" x14ac:dyDescent="0.25">
      <c r="A77" s="78"/>
      <c r="B77" s="81" t="s">
        <v>120</v>
      </c>
      <c r="C77" s="80" t="s">
        <v>107</v>
      </c>
      <c r="D77" s="65">
        <v>0.74299999999999999</v>
      </c>
      <c r="E77" s="65">
        <v>0.68300000000000005</v>
      </c>
      <c r="F77" s="65">
        <v>0.73599999999999999</v>
      </c>
      <c r="G77" s="65">
        <v>0.83699999999999997</v>
      </c>
      <c r="H77" s="65">
        <v>0.83699999999999997</v>
      </c>
      <c r="I77" s="65">
        <v>0.91</v>
      </c>
      <c r="J77" s="65">
        <v>0.85</v>
      </c>
      <c r="K77" s="65">
        <v>0.98399999999999999</v>
      </c>
      <c r="L77" s="65">
        <v>0.9</v>
      </c>
      <c r="M77" s="66">
        <v>0.98399999999999999</v>
      </c>
    </row>
    <row r="78" spans="1:13" s="27" customFormat="1" ht="15.6" x14ac:dyDescent="0.25">
      <c r="A78" s="78"/>
      <c r="B78" s="81" t="s">
        <v>121</v>
      </c>
      <c r="C78" s="80" t="s">
        <v>107</v>
      </c>
      <c r="D78" s="65">
        <v>7.0309999999999997</v>
      </c>
      <c r="E78" s="65">
        <v>7.5410000000000004</v>
      </c>
      <c r="F78" s="65">
        <v>8.1180000000000003</v>
      </c>
      <c r="G78" s="65">
        <v>6.633</v>
      </c>
      <c r="H78" s="65">
        <v>6.3</v>
      </c>
      <c r="I78" s="65">
        <v>6.5220000000000002</v>
      </c>
      <c r="J78" s="65">
        <v>6.9</v>
      </c>
      <c r="K78" s="65">
        <v>7.4180000000000001</v>
      </c>
      <c r="L78" s="65">
        <v>6.9</v>
      </c>
      <c r="M78" s="66">
        <v>7.4180000000000001</v>
      </c>
    </row>
    <row r="79" spans="1:13" s="27" customFormat="1" ht="31.2" x14ac:dyDescent="0.25">
      <c r="A79" s="78" t="s">
        <v>51</v>
      </c>
      <c r="B79" s="31" t="s">
        <v>122</v>
      </c>
      <c r="C79" s="80" t="s">
        <v>107</v>
      </c>
      <c r="D79" s="65">
        <f t="shared" ref="D79:M79" si="41">SUM(D80:D89)</f>
        <v>119.86700000000002</v>
      </c>
      <c r="E79" s="111">
        <f t="shared" si="41"/>
        <v>135.01999999999998</v>
      </c>
      <c r="F79" s="111">
        <f t="shared" si="41"/>
        <v>148.626</v>
      </c>
      <c r="G79" s="111">
        <f t="shared" si="41"/>
        <v>176.35499999999999</v>
      </c>
      <c r="H79" s="111">
        <f t="shared" si="41"/>
        <v>79.921000000000006</v>
      </c>
      <c r="I79" s="111">
        <f t="shared" si="41"/>
        <v>90.016000000000005</v>
      </c>
      <c r="J79" s="111">
        <f t="shared" si="41"/>
        <v>81.72</v>
      </c>
      <c r="K79" s="111">
        <f t="shared" si="41"/>
        <v>90.093999999999994</v>
      </c>
      <c r="L79" s="111">
        <f t="shared" si="41"/>
        <v>82.02000000000001</v>
      </c>
      <c r="M79" s="112">
        <f t="shared" si="41"/>
        <v>90.093999999999994</v>
      </c>
    </row>
    <row r="80" spans="1:13" s="27" customFormat="1" ht="15.6" x14ac:dyDescent="0.25">
      <c r="A80" s="78"/>
      <c r="B80" s="81" t="s">
        <v>123</v>
      </c>
      <c r="C80" s="80" t="s">
        <v>107</v>
      </c>
      <c r="D80" s="65">
        <v>39.548000000000002</v>
      </c>
      <c r="E80" s="65">
        <v>35.765999999999998</v>
      </c>
      <c r="F80" s="65">
        <v>47.868000000000002</v>
      </c>
      <c r="G80" s="65">
        <v>41.676000000000002</v>
      </c>
      <c r="H80" s="65">
        <v>32.021000000000001</v>
      </c>
      <c r="I80" s="65">
        <v>38.875</v>
      </c>
      <c r="J80" s="65">
        <v>33.18</v>
      </c>
      <c r="K80" s="65">
        <v>40.875</v>
      </c>
      <c r="L80" s="65">
        <v>33.159999999999997</v>
      </c>
      <c r="M80" s="66">
        <v>40.875</v>
      </c>
    </row>
    <row r="81" spans="1:13" s="27" customFormat="1" ht="15.6" x14ac:dyDescent="0.25">
      <c r="A81" s="78"/>
      <c r="B81" s="81" t="s">
        <v>124</v>
      </c>
      <c r="C81" s="80" t="s">
        <v>107</v>
      </c>
      <c r="D81" s="65">
        <v>0.621</v>
      </c>
      <c r="E81" s="65">
        <v>0.59899999999999998</v>
      </c>
      <c r="F81" s="65">
        <v>0.60699999999999998</v>
      </c>
      <c r="G81" s="65">
        <v>0.7</v>
      </c>
      <c r="H81" s="65">
        <v>0.68</v>
      </c>
      <c r="I81" s="65">
        <v>0.77300000000000002</v>
      </c>
      <c r="J81" s="65">
        <v>0.7</v>
      </c>
      <c r="K81" s="65">
        <v>0.84799999999999998</v>
      </c>
      <c r="L81" s="65">
        <v>0.79</v>
      </c>
      <c r="M81" s="66">
        <v>0.84799999999999998</v>
      </c>
    </row>
    <row r="82" spans="1:13" s="27" customFormat="1" ht="15.6" x14ac:dyDescent="0.25">
      <c r="A82" s="82"/>
      <c r="B82" s="83" t="s">
        <v>125</v>
      </c>
      <c r="C82" s="84" t="s">
        <v>107</v>
      </c>
      <c r="D82" s="65">
        <v>1.054</v>
      </c>
      <c r="E82" s="65">
        <v>1.0249999999999999</v>
      </c>
      <c r="F82" s="65">
        <v>0.93799999999999994</v>
      </c>
      <c r="G82" s="65">
        <v>0.61099999999999999</v>
      </c>
      <c r="H82" s="65">
        <v>0.7</v>
      </c>
      <c r="I82" s="65">
        <v>0.89400000000000002</v>
      </c>
      <c r="J82" s="65">
        <v>0.72</v>
      </c>
      <c r="K82" s="65">
        <v>0.89400000000000002</v>
      </c>
      <c r="L82" s="65">
        <v>0.75</v>
      </c>
      <c r="M82" s="66">
        <v>0.89400000000000002</v>
      </c>
    </row>
    <row r="83" spans="1:13" s="27" customFormat="1" ht="15.6" x14ac:dyDescent="0.25">
      <c r="A83" s="78"/>
      <c r="B83" s="81" t="s">
        <v>126</v>
      </c>
      <c r="C83" s="80" t="s">
        <v>107</v>
      </c>
      <c r="D83" s="65">
        <v>14.413</v>
      </c>
      <c r="E83" s="65">
        <v>11.584</v>
      </c>
      <c r="F83" s="65">
        <v>12.819000000000001</v>
      </c>
      <c r="G83" s="65">
        <v>68.183000000000007</v>
      </c>
      <c r="H83" s="65">
        <v>6.5</v>
      </c>
      <c r="I83" s="65">
        <v>7.8719999999999999</v>
      </c>
      <c r="J83" s="65">
        <v>6.8</v>
      </c>
      <c r="K83" s="65">
        <v>7.875</v>
      </c>
      <c r="L83" s="65">
        <v>7</v>
      </c>
      <c r="M83" s="66">
        <v>7.875</v>
      </c>
    </row>
    <row r="84" spans="1:13" s="27" customFormat="1" ht="15.6" x14ac:dyDescent="0.25">
      <c r="A84" s="78"/>
      <c r="B84" s="81" t="s">
        <v>127</v>
      </c>
      <c r="C84" s="80" t="s">
        <v>107</v>
      </c>
      <c r="D84" s="65">
        <v>30.132000000000001</v>
      </c>
      <c r="E84" s="65">
        <v>47.83</v>
      </c>
      <c r="F84" s="65">
        <v>35.716000000000001</v>
      </c>
      <c r="G84" s="65">
        <v>26.652000000000001</v>
      </c>
      <c r="H84" s="65">
        <v>3.9</v>
      </c>
      <c r="I84" s="65">
        <v>4.3579999999999997</v>
      </c>
      <c r="J84" s="65">
        <v>4.2</v>
      </c>
      <c r="K84" s="65">
        <v>2.3580000000000001</v>
      </c>
      <c r="L84" s="65">
        <v>4.2</v>
      </c>
      <c r="M84" s="66">
        <v>2.3580000000000001</v>
      </c>
    </row>
    <row r="85" spans="1:13" s="27" customFormat="1" ht="15.6" x14ac:dyDescent="0.25">
      <c r="A85" s="78"/>
      <c r="B85" s="81" t="s">
        <v>128</v>
      </c>
      <c r="C85" s="80" t="s">
        <v>107</v>
      </c>
      <c r="D85" s="65">
        <v>0</v>
      </c>
      <c r="E85" s="65">
        <v>0.66</v>
      </c>
      <c r="F85" s="65">
        <v>0.58499999999999996</v>
      </c>
      <c r="G85" s="65">
        <v>0.04</v>
      </c>
      <c r="H85" s="65">
        <v>0</v>
      </c>
      <c r="I85" s="65">
        <f t="shared" ref="I85:K86" si="42">H85*1.01</f>
        <v>0</v>
      </c>
      <c r="J85" s="65">
        <f t="shared" si="42"/>
        <v>0</v>
      </c>
      <c r="K85" s="65">
        <f t="shared" si="42"/>
        <v>0</v>
      </c>
      <c r="L85" s="65">
        <v>0</v>
      </c>
      <c r="M85" s="66">
        <f t="shared" ref="M85:M86" si="43">K85*1.02</f>
        <v>0</v>
      </c>
    </row>
    <row r="86" spans="1:13" s="27" customFormat="1" ht="15.6" hidden="1" outlineLevel="1" x14ac:dyDescent="0.25">
      <c r="A86" s="78"/>
      <c r="B86" s="81" t="s">
        <v>129</v>
      </c>
      <c r="C86" s="80" t="s">
        <v>107</v>
      </c>
      <c r="D86" s="65">
        <v>0</v>
      </c>
      <c r="E86" s="65">
        <v>0</v>
      </c>
      <c r="F86" s="65">
        <v>0</v>
      </c>
      <c r="G86" s="65">
        <v>0</v>
      </c>
      <c r="H86" s="114">
        <v>0</v>
      </c>
      <c r="I86" s="117">
        <f t="shared" si="42"/>
        <v>0</v>
      </c>
      <c r="J86" s="114">
        <f t="shared" si="42"/>
        <v>0</v>
      </c>
      <c r="K86" s="117">
        <f t="shared" si="42"/>
        <v>0</v>
      </c>
      <c r="L86" s="65">
        <v>0</v>
      </c>
      <c r="M86" s="123">
        <f t="shared" si="43"/>
        <v>0</v>
      </c>
    </row>
    <row r="87" spans="1:13" s="27" customFormat="1" ht="15.6" collapsed="1" x14ac:dyDescent="0.25">
      <c r="A87" s="78"/>
      <c r="B87" s="81" t="s">
        <v>130</v>
      </c>
      <c r="C87" s="80" t="s">
        <v>107</v>
      </c>
      <c r="D87" s="65">
        <v>21.064</v>
      </c>
      <c r="E87" s="65">
        <v>23.893999999999998</v>
      </c>
      <c r="F87" s="65">
        <v>27.113</v>
      </c>
      <c r="G87" s="65">
        <v>24.745000000000001</v>
      </c>
      <c r="H87" s="65">
        <v>24</v>
      </c>
      <c r="I87" s="65">
        <v>24.315000000000001</v>
      </c>
      <c r="J87" s="65">
        <v>24</v>
      </c>
      <c r="K87" s="65">
        <v>24.315000000000001</v>
      </c>
      <c r="L87" s="65">
        <v>24</v>
      </c>
      <c r="M87" s="66">
        <v>24.315000000000001</v>
      </c>
    </row>
    <row r="88" spans="1:13" s="27" customFormat="1" ht="15.6" x14ac:dyDescent="0.25">
      <c r="A88" s="78"/>
      <c r="B88" s="81" t="s">
        <v>131</v>
      </c>
      <c r="C88" s="80" t="s">
        <v>107</v>
      </c>
      <c r="D88" s="65">
        <v>0.125</v>
      </c>
      <c r="E88" s="65">
        <v>0.125</v>
      </c>
      <c r="F88" s="65">
        <v>0.20300000000000001</v>
      </c>
      <c r="G88" s="65">
        <v>0.76500000000000001</v>
      </c>
      <c r="H88" s="65">
        <v>0.12</v>
      </c>
      <c r="I88" s="65">
        <v>0.18</v>
      </c>
      <c r="J88" s="65">
        <v>0.12</v>
      </c>
      <c r="K88" s="65">
        <v>0.18</v>
      </c>
      <c r="L88" s="65">
        <v>0.12</v>
      </c>
      <c r="M88" s="66">
        <v>0.18</v>
      </c>
    </row>
    <row r="89" spans="1:13" s="27" customFormat="1" ht="15.6" x14ac:dyDescent="0.25">
      <c r="A89" s="78"/>
      <c r="B89" s="81" t="s">
        <v>132</v>
      </c>
      <c r="C89" s="80" t="s">
        <v>107</v>
      </c>
      <c r="D89" s="65">
        <v>12.91</v>
      </c>
      <c r="E89" s="65">
        <v>13.537000000000001</v>
      </c>
      <c r="F89" s="65">
        <v>22.777000000000001</v>
      </c>
      <c r="G89" s="65">
        <v>12.983000000000001</v>
      </c>
      <c r="H89" s="65">
        <v>12</v>
      </c>
      <c r="I89" s="65">
        <v>12.749000000000001</v>
      </c>
      <c r="J89" s="65">
        <v>12</v>
      </c>
      <c r="K89" s="65">
        <v>12.749000000000001</v>
      </c>
      <c r="L89" s="65">
        <v>12</v>
      </c>
      <c r="M89" s="66">
        <v>12.749000000000001</v>
      </c>
    </row>
    <row r="90" spans="1:13" s="27" customFormat="1" ht="31.2" x14ac:dyDescent="0.25">
      <c r="A90" s="78" t="s">
        <v>58</v>
      </c>
      <c r="B90" s="31" t="s">
        <v>133</v>
      </c>
      <c r="C90" s="80" t="s">
        <v>107</v>
      </c>
      <c r="D90" s="65">
        <f t="shared" ref="D90:M90" si="44">D66-D79</f>
        <v>-0.55700000000001637</v>
      </c>
      <c r="E90" s="65">
        <f t="shared" si="44"/>
        <v>1.8460000000000036</v>
      </c>
      <c r="F90" s="65">
        <f t="shared" si="44"/>
        <v>2.6829999999999927</v>
      </c>
      <c r="G90" s="65">
        <f t="shared" si="44"/>
        <v>-5.1599999999999966</v>
      </c>
      <c r="H90" s="111">
        <f t="shared" si="44"/>
        <v>0</v>
      </c>
      <c r="I90" s="111">
        <f t="shared" si="44"/>
        <v>0</v>
      </c>
      <c r="J90" s="111">
        <f t="shared" si="44"/>
        <v>0</v>
      </c>
      <c r="K90" s="111">
        <f t="shared" si="44"/>
        <v>0</v>
      </c>
      <c r="L90" s="111">
        <f t="shared" si="44"/>
        <v>0</v>
      </c>
      <c r="M90" s="112">
        <f t="shared" si="44"/>
        <v>0</v>
      </c>
    </row>
    <row r="91" spans="1:13" s="27" customFormat="1" ht="15.6" x14ac:dyDescent="0.25">
      <c r="A91" s="47" t="s">
        <v>134</v>
      </c>
      <c r="B91" s="58" t="s">
        <v>135</v>
      </c>
      <c r="C91" s="24"/>
      <c r="D91" s="87">
        <f t="shared" ref="D91:M91" si="45">D92+D94+D96</f>
        <v>424241</v>
      </c>
      <c r="E91" s="87">
        <f t="shared" si="45"/>
        <v>432474.36</v>
      </c>
      <c r="F91" s="87">
        <f t="shared" si="45"/>
        <v>466098</v>
      </c>
      <c r="G91" s="87">
        <f t="shared" si="45"/>
        <v>499148</v>
      </c>
      <c r="H91" s="85">
        <f t="shared" si="45"/>
        <v>542523.89</v>
      </c>
      <c r="I91" s="85">
        <f t="shared" si="45"/>
        <v>562077.79599999986</v>
      </c>
      <c r="J91" s="85">
        <f t="shared" si="45"/>
        <v>592942.54759999993</v>
      </c>
      <c r="K91" s="85">
        <f t="shared" si="45"/>
        <v>617438.45029999991</v>
      </c>
      <c r="L91" s="85">
        <f t="shared" si="45"/>
        <v>627612.0794704</v>
      </c>
      <c r="M91" s="88">
        <f t="shared" si="45"/>
        <v>667194.14104069991</v>
      </c>
    </row>
    <row r="92" spans="1:13" s="27" customFormat="1" ht="62.4" x14ac:dyDescent="0.25">
      <c r="A92" s="22" t="s">
        <v>29</v>
      </c>
      <c r="B92" s="62" t="s">
        <v>136</v>
      </c>
      <c r="C92" s="24" t="s">
        <v>137</v>
      </c>
      <c r="D92" s="34">
        <v>406718</v>
      </c>
      <c r="E92" s="34">
        <f>D92*1.02/12*12</f>
        <v>414852.36</v>
      </c>
      <c r="F92" s="34">
        <v>448040</v>
      </c>
      <c r="G92" s="34">
        <v>481005</v>
      </c>
      <c r="H92" s="25">
        <f>G92*109%</f>
        <v>524295.45000000007</v>
      </c>
      <c r="I92" s="25">
        <f>G92*113%</f>
        <v>543535.64999999991</v>
      </c>
      <c r="J92" s="25">
        <f>H92*109.6%</f>
        <v>574627.81319999998</v>
      </c>
      <c r="K92" s="25">
        <f>I92*110.1%</f>
        <v>598432.75064999994</v>
      </c>
      <c r="L92" s="25">
        <f>J92*106%</f>
        <v>609105.48199200002</v>
      </c>
      <c r="M92" s="26">
        <f>K92*108.2%</f>
        <v>647504.23620329995</v>
      </c>
    </row>
    <row r="93" spans="1:13" s="27" customFormat="1" ht="15.6" x14ac:dyDescent="0.25">
      <c r="A93" s="22" t="s">
        <v>51</v>
      </c>
      <c r="B93" s="62" t="s">
        <v>138</v>
      </c>
      <c r="C93" s="24" t="s">
        <v>139</v>
      </c>
      <c r="D93" s="28" t="e">
        <f>D92/#REF!*100</f>
        <v>#REF!</v>
      </c>
      <c r="E93" s="28">
        <f>E92/D92*100</f>
        <v>102</v>
      </c>
      <c r="F93" s="28">
        <f>F92/E92*100</f>
        <v>107.99986771197349</v>
      </c>
      <c r="G93" s="28">
        <f>G92/F92*100</f>
        <v>107.35760199982145</v>
      </c>
      <c r="H93" s="28">
        <f>H92/G92*100</f>
        <v>109.00000000000001</v>
      </c>
      <c r="I93" s="28">
        <f>I92/G92*100</f>
        <v>112.99999999999999</v>
      </c>
      <c r="J93" s="28">
        <f>J92/H92*100</f>
        <v>109.59999999999998</v>
      </c>
      <c r="K93" s="28">
        <f>K92/I92*100</f>
        <v>110.1</v>
      </c>
      <c r="L93" s="28">
        <f>L92/J92*100</f>
        <v>106</v>
      </c>
      <c r="M93" s="40">
        <f>M92/K92*100</f>
        <v>108.2</v>
      </c>
    </row>
    <row r="94" spans="1:13" s="27" customFormat="1" ht="62.4" x14ac:dyDescent="0.25">
      <c r="A94" s="22" t="s">
        <v>58</v>
      </c>
      <c r="B94" s="62" t="s">
        <v>140</v>
      </c>
      <c r="C94" s="24" t="s">
        <v>137</v>
      </c>
      <c r="D94" s="25">
        <v>8171</v>
      </c>
      <c r="E94" s="25">
        <f>8212/12*12</f>
        <v>8212</v>
      </c>
      <c r="F94" s="25">
        <v>8459</v>
      </c>
      <c r="G94" s="25">
        <v>8544</v>
      </c>
      <c r="H94" s="25">
        <f>G94*101%</f>
        <v>8629.44</v>
      </c>
      <c r="I94" s="25">
        <f>G94*102.2%</f>
        <v>8731.9680000000008</v>
      </c>
      <c r="J94" s="25">
        <f>H94*101%</f>
        <v>8715.7344000000012</v>
      </c>
      <c r="K94" s="25">
        <f>I94*102.5%</f>
        <v>8950.2672000000002</v>
      </c>
      <c r="L94" s="25">
        <f>J94*101.1%</f>
        <v>8811.6074784000011</v>
      </c>
      <c r="M94" s="26">
        <f>K94*103.6%</f>
        <v>9272.476819200001</v>
      </c>
    </row>
    <row r="95" spans="1:13" s="27" customFormat="1" ht="15.6" x14ac:dyDescent="0.25">
      <c r="A95" s="22" t="s">
        <v>61</v>
      </c>
      <c r="B95" s="62" t="s">
        <v>138</v>
      </c>
      <c r="C95" s="24" t="s">
        <v>139</v>
      </c>
      <c r="D95" s="28" t="e">
        <f>D94/#REF!*100</f>
        <v>#REF!</v>
      </c>
      <c r="E95" s="28">
        <f>E94/D94*100</f>
        <v>100.50177456859626</v>
      </c>
      <c r="F95" s="28">
        <f>F94/E94*100</f>
        <v>103.00779347296638</v>
      </c>
      <c r="G95" s="28">
        <f>G94/F94*100</f>
        <v>101.00484690861803</v>
      </c>
      <c r="H95" s="28">
        <f t="shared" ref="H95:I95" si="46">H94/G94*100</f>
        <v>101</v>
      </c>
      <c r="I95" s="28">
        <f t="shared" si="46"/>
        <v>101.1881188118812</v>
      </c>
      <c r="J95" s="28">
        <f>J94/H94*100</f>
        <v>101</v>
      </c>
      <c r="K95" s="28">
        <f>K94/I94*100</f>
        <v>102.49999999999999</v>
      </c>
      <c r="L95" s="28">
        <f>L94/J94*100</f>
        <v>101.1</v>
      </c>
      <c r="M95" s="40">
        <f>M94/K94*100</f>
        <v>103.60000000000001</v>
      </c>
    </row>
    <row r="96" spans="1:13" s="27" customFormat="1" ht="62.4" x14ac:dyDescent="0.25">
      <c r="A96" s="22" t="s">
        <v>63</v>
      </c>
      <c r="B96" s="62" t="s">
        <v>141</v>
      </c>
      <c r="C96" s="24" t="s">
        <v>137</v>
      </c>
      <c r="D96" s="25">
        <v>9352</v>
      </c>
      <c r="E96" s="25">
        <f>9410/12*12</f>
        <v>9410</v>
      </c>
      <c r="F96" s="25">
        <v>9599</v>
      </c>
      <c r="G96" s="25">
        <v>9599</v>
      </c>
      <c r="H96" s="25">
        <f>G96*100%</f>
        <v>9599</v>
      </c>
      <c r="I96" s="25">
        <f>G96*102.2%</f>
        <v>9810.1779999999999</v>
      </c>
      <c r="J96" s="25">
        <f>H96*100%</f>
        <v>9599</v>
      </c>
      <c r="K96" s="25">
        <f>I96*102.5%</f>
        <v>10055.432449999998</v>
      </c>
      <c r="L96" s="25">
        <f>J96*101%</f>
        <v>9694.99</v>
      </c>
      <c r="M96" s="26">
        <f>K96*103.6%</f>
        <v>10417.428018199998</v>
      </c>
    </row>
    <row r="97" spans="1:13" s="27" customFormat="1" ht="16.2" thickBot="1" x14ac:dyDescent="0.3">
      <c r="A97" s="89" t="s">
        <v>65</v>
      </c>
      <c r="B97" s="90" t="s">
        <v>138</v>
      </c>
      <c r="C97" s="91" t="s">
        <v>139</v>
      </c>
      <c r="D97" s="93" t="e">
        <f>D96/#REF!*100</f>
        <v>#REF!</v>
      </c>
      <c r="E97" s="93">
        <f>E96/D96*100</f>
        <v>100.62018819503848</v>
      </c>
      <c r="F97" s="93">
        <f>F96/E96*100</f>
        <v>102.00850159404888</v>
      </c>
      <c r="G97" s="93">
        <f>G96/F96*100</f>
        <v>100</v>
      </c>
      <c r="H97" s="93">
        <f t="shared" ref="H97:I97" si="47">H96/G96*100</f>
        <v>100</v>
      </c>
      <c r="I97" s="93">
        <f t="shared" si="47"/>
        <v>102.2</v>
      </c>
      <c r="J97" s="93">
        <f>J96/H96*100</f>
        <v>100</v>
      </c>
      <c r="K97" s="93">
        <f>K96/I96*100</f>
        <v>102.49999999999999</v>
      </c>
      <c r="L97" s="93">
        <f>L96/J96*100</f>
        <v>101</v>
      </c>
      <c r="M97" s="94">
        <f>M96/K96*100</f>
        <v>103.60000000000001</v>
      </c>
    </row>
    <row r="98" spans="1:13" s="2" customFormat="1" x14ac:dyDescent="0.25">
      <c r="A98" s="95"/>
      <c r="B98" s="96"/>
      <c r="C98" s="96"/>
      <c r="D98" s="98"/>
      <c r="E98" s="98"/>
      <c r="F98" s="98"/>
      <c r="G98" s="98"/>
      <c r="H98" s="4"/>
      <c r="I98" s="4"/>
    </row>
    <row r="99" spans="1:13" s="2" customFormat="1" x14ac:dyDescent="0.25">
      <c r="A99" s="1"/>
      <c r="D99" s="4"/>
      <c r="E99" s="4"/>
      <c r="F99" s="4"/>
      <c r="G99" s="4"/>
      <c r="H99" s="4"/>
      <c r="I99" s="4"/>
    </row>
    <row r="100" spans="1:13" s="2" customFormat="1" x14ac:dyDescent="0.25">
      <c r="A100" s="1"/>
      <c r="D100" s="4"/>
      <c r="E100" s="4"/>
      <c r="F100" s="4"/>
      <c r="G100" s="4"/>
      <c r="H100" s="4"/>
      <c r="I100" s="4"/>
    </row>
    <row r="101" spans="1:13" s="2" customFormat="1" ht="19.5" customHeight="1" x14ac:dyDescent="0.25">
      <c r="A101" s="124" t="s">
        <v>142</v>
      </c>
      <c r="B101" s="124"/>
      <c r="C101" s="124"/>
      <c r="D101" s="99"/>
      <c r="E101" s="99"/>
      <c r="F101" s="99"/>
      <c r="G101" s="99"/>
      <c r="H101" s="4"/>
      <c r="I101" s="4"/>
    </row>
    <row r="102" spans="1:13" s="2" customFormat="1" x14ac:dyDescent="0.25">
      <c r="A102" s="1"/>
      <c r="D102" s="4"/>
      <c r="E102" s="4"/>
      <c r="F102" s="4"/>
      <c r="G102" s="4"/>
      <c r="H102" s="4"/>
      <c r="I102" s="4"/>
    </row>
  </sheetData>
  <mergeCells count="17">
    <mergeCell ref="A101:C101"/>
    <mergeCell ref="F9:F10"/>
    <mergeCell ref="D9:D10"/>
    <mergeCell ref="E9:E10"/>
    <mergeCell ref="G9:G10"/>
    <mergeCell ref="H9:I9"/>
    <mergeCell ref="J9:K9"/>
    <mergeCell ref="L9:M9"/>
    <mergeCell ref="A9:A10"/>
    <mergeCell ref="B9:B10"/>
    <mergeCell ref="C9:C10"/>
    <mergeCell ref="A7:M7"/>
    <mergeCell ref="H1:M1"/>
    <mergeCell ref="H2:M2"/>
    <mergeCell ref="H3:M3"/>
    <mergeCell ref="A5:M5"/>
    <mergeCell ref="A6:M6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FFCC"/>
    <pageSetUpPr fitToPage="1"/>
  </sheetPr>
  <dimension ref="A1:X102"/>
  <sheetViews>
    <sheetView zoomScale="75" workbookViewId="0">
      <pane ySplit="12" topLeftCell="A79" activePane="bottomLeft" state="frozen"/>
      <selection pane="bottomLeft" activeCell="U80" sqref="U80"/>
    </sheetView>
  </sheetViews>
  <sheetFormatPr defaultRowHeight="13.2" outlineLevelRow="1" outlineLevelCol="1" x14ac:dyDescent="0.25"/>
  <cols>
    <col min="1" max="1" width="6" style="1" customWidth="1"/>
    <col min="2" max="2" width="66" style="2" customWidth="1"/>
    <col min="3" max="3" width="12.88671875" style="2" customWidth="1"/>
    <col min="4" max="4" width="11.6640625" style="2" hidden="1" customWidth="1" outlineLevel="1"/>
    <col min="5" max="6" width="11.6640625" style="6" hidden="1" customWidth="1" outlineLevel="1"/>
    <col min="7" max="12" width="11.33203125" style="2" hidden="1" customWidth="1" outlineLevel="1"/>
    <col min="13" max="13" width="11.33203125" style="2" customWidth="1" collapsed="1"/>
    <col min="14" max="15" width="11.33203125" style="2" customWidth="1"/>
    <col min="16" max="21" width="13" style="2" customWidth="1"/>
  </cols>
  <sheetData>
    <row r="1" spans="1:24" ht="18.75" customHeight="1" x14ac:dyDescent="0.3">
      <c r="D1" s="3"/>
      <c r="E1" s="4"/>
      <c r="F1" s="4"/>
      <c r="P1" s="135" t="s">
        <v>0</v>
      </c>
      <c r="Q1" s="135"/>
      <c r="R1" s="135"/>
      <c r="S1" s="135"/>
      <c r="T1" s="135"/>
      <c r="U1" s="135"/>
    </row>
    <row r="2" spans="1:24" ht="18.75" customHeight="1" x14ac:dyDescent="0.3">
      <c r="D2" s="3"/>
      <c r="E2" s="4"/>
      <c r="F2" s="4"/>
      <c r="P2" s="136" t="s">
        <v>1</v>
      </c>
      <c r="Q2" s="136"/>
      <c r="R2" s="136"/>
      <c r="S2" s="136"/>
      <c r="T2" s="136"/>
      <c r="U2" s="136"/>
    </row>
    <row r="3" spans="1:24" s="8" customFormat="1" ht="18.75" customHeight="1" x14ac:dyDescent="0.3">
      <c r="A3" s="5"/>
      <c r="B3" s="6"/>
      <c r="C3" s="6"/>
      <c r="D3" s="4"/>
      <c r="E3" s="4"/>
      <c r="F3" s="4"/>
      <c r="G3" s="7"/>
      <c r="H3" s="7"/>
      <c r="I3" s="7"/>
      <c r="J3" s="7"/>
      <c r="K3" s="7"/>
      <c r="L3" s="7"/>
      <c r="M3" s="7"/>
      <c r="N3" s="7"/>
      <c r="O3" s="7"/>
      <c r="P3" s="136" t="s">
        <v>143</v>
      </c>
      <c r="Q3" s="136"/>
      <c r="R3" s="136"/>
      <c r="S3" s="136"/>
      <c r="T3" s="136"/>
      <c r="U3" s="136"/>
    </row>
    <row r="4" spans="1:24" s="8" customFormat="1" ht="18.75" customHeight="1" x14ac:dyDescent="0.25">
      <c r="A4" s="5"/>
      <c r="B4" s="6"/>
      <c r="C4" s="6"/>
      <c r="D4" s="4"/>
      <c r="E4" s="4"/>
      <c r="F4" s="4"/>
      <c r="G4" s="7"/>
      <c r="H4" s="7"/>
      <c r="I4" s="7"/>
      <c r="J4" s="7"/>
      <c r="K4" s="7"/>
      <c r="L4" s="7"/>
      <c r="M4" s="7"/>
      <c r="N4" s="7"/>
      <c r="O4" s="7"/>
      <c r="P4" s="7"/>
      <c r="Q4" s="9"/>
      <c r="R4" s="9"/>
      <c r="S4" s="9"/>
      <c r="T4" s="9"/>
      <c r="U4" s="9"/>
    </row>
    <row r="5" spans="1:24" s="8" customFormat="1" ht="18.75" customHeight="1" x14ac:dyDescent="0.25">
      <c r="A5" s="137" t="s">
        <v>3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4" s="8" customFormat="1" ht="18.75" customHeight="1" x14ac:dyDescent="0.25">
      <c r="A6" s="137" t="s">
        <v>4</v>
      </c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4" s="8" customFormat="1" ht="18.75" customHeight="1" x14ac:dyDescent="0.25">
      <c r="A7" s="137" t="s">
        <v>144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</row>
    <row r="8" spans="1:24" s="8" customFormat="1" ht="26.25" customHeight="1" thickBo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</row>
    <row r="9" spans="1:24" s="8" customFormat="1" ht="26.25" customHeight="1" x14ac:dyDescent="0.25">
      <c r="A9" s="127" t="s">
        <v>6</v>
      </c>
      <c r="B9" s="129" t="s">
        <v>7</v>
      </c>
      <c r="C9" s="131" t="s">
        <v>8</v>
      </c>
      <c r="D9" s="129" t="s">
        <v>9</v>
      </c>
      <c r="E9" s="129" t="s">
        <v>10</v>
      </c>
      <c r="F9" s="125" t="s">
        <v>11</v>
      </c>
      <c r="G9" s="125" t="s">
        <v>12</v>
      </c>
      <c r="H9" s="125" t="s">
        <v>13</v>
      </c>
      <c r="I9" s="125" t="s">
        <v>14</v>
      </c>
      <c r="J9" s="125" t="s">
        <v>15</v>
      </c>
      <c r="K9" s="125" t="s">
        <v>16</v>
      </c>
      <c r="L9" s="125" t="s">
        <v>17</v>
      </c>
      <c r="M9" s="125" t="s">
        <v>18</v>
      </c>
      <c r="N9" s="125" t="s">
        <v>19</v>
      </c>
      <c r="O9" s="125" t="s">
        <v>145</v>
      </c>
      <c r="P9" s="138" t="s">
        <v>22</v>
      </c>
      <c r="Q9" s="140"/>
      <c r="R9" s="138" t="s">
        <v>23</v>
      </c>
      <c r="S9" s="140"/>
      <c r="T9" s="138" t="s">
        <v>24</v>
      </c>
      <c r="U9" s="139"/>
    </row>
    <row r="10" spans="1:24" s="14" customFormat="1" ht="47.4" thickBot="1" x14ac:dyDescent="0.3">
      <c r="A10" s="128"/>
      <c r="B10" s="130"/>
      <c r="C10" s="132"/>
      <c r="D10" s="133"/>
      <c r="E10" s="133"/>
      <c r="F10" s="134"/>
      <c r="G10" s="126"/>
      <c r="H10" s="126"/>
      <c r="I10" s="126"/>
      <c r="J10" s="126"/>
      <c r="K10" s="126"/>
      <c r="L10" s="126"/>
      <c r="M10" s="126"/>
      <c r="N10" s="126"/>
      <c r="O10" s="126"/>
      <c r="P10" s="11" t="s">
        <v>25</v>
      </c>
      <c r="Q10" s="12" t="s">
        <v>26</v>
      </c>
      <c r="R10" s="11" t="s">
        <v>25</v>
      </c>
      <c r="S10" s="12" t="s">
        <v>26</v>
      </c>
      <c r="T10" s="11" t="s">
        <v>25</v>
      </c>
      <c r="U10" s="13" t="s">
        <v>26</v>
      </c>
      <c r="X10" s="14">
        <v>23</v>
      </c>
    </row>
    <row r="11" spans="1:24" s="14" customFormat="1" ht="15.6" x14ac:dyDescent="0.25">
      <c r="A11" s="15" t="s">
        <v>27</v>
      </c>
      <c r="B11" s="16" t="s">
        <v>28</v>
      </c>
      <c r="C11" s="17"/>
      <c r="D11" s="18"/>
      <c r="E11" s="18"/>
      <c r="F11" s="18"/>
      <c r="G11" s="19"/>
      <c r="H11" s="19"/>
      <c r="I11" s="19"/>
      <c r="J11" s="19"/>
      <c r="K11" s="19"/>
      <c r="L11" s="19"/>
      <c r="M11" s="19"/>
      <c r="N11" s="19"/>
      <c r="O11" s="20"/>
      <c r="P11" s="20"/>
      <c r="Q11" s="100"/>
      <c r="R11" s="20"/>
      <c r="S11" s="100"/>
      <c r="T11" s="20"/>
      <c r="U11" s="101"/>
    </row>
    <row r="12" spans="1:24" s="27" customFormat="1" ht="35.25" customHeight="1" x14ac:dyDescent="0.25">
      <c r="A12" s="22" t="s">
        <v>29</v>
      </c>
      <c r="B12" s="23" t="s">
        <v>30</v>
      </c>
      <c r="C12" s="24" t="s">
        <v>31</v>
      </c>
      <c r="D12" s="25" t="e">
        <f>D14+D18+D19+D20+D21+#REF!</f>
        <v>#REF!</v>
      </c>
      <c r="E12" s="25">
        <v>1179481</v>
      </c>
      <c r="F12" s="25">
        <f>806483/9*12</f>
        <v>1075310.6666666665</v>
      </c>
      <c r="G12" s="25">
        <v>2954984</v>
      </c>
      <c r="H12" s="25">
        <v>3035894</v>
      </c>
      <c r="I12" s="25" t="e">
        <f>I13+I14+I19+I20+I21+I22+#REF!</f>
        <v>#REF!</v>
      </c>
      <c r="J12" s="25" t="e">
        <f>J13+J14+J18+J19+J20+J21+J22+#REF!+J23+J24</f>
        <v>#REF!</v>
      </c>
      <c r="K12" s="25" t="e">
        <f>K13+K14+K18+K19+K20+K21+K22+#REF!+K23+K24</f>
        <v>#REF!</v>
      </c>
      <c r="L12" s="25" t="e">
        <f>L13+L14+L18+L19+L20+L21+L22+#REF!+L23+L24</f>
        <v>#REF!</v>
      </c>
      <c r="M12" s="25">
        <v>3077000</v>
      </c>
      <c r="N12" s="25">
        <f t="shared" ref="N12:U12" si="0">N13+N14+N18+N19+N20+N21+N22+N23+N24</f>
        <v>5282342.6900000004</v>
      </c>
      <c r="O12" s="25">
        <f t="shared" si="0"/>
        <v>4494076</v>
      </c>
      <c r="P12" s="25">
        <f t="shared" si="0"/>
        <v>4557934.9744000006</v>
      </c>
      <c r="Q12" s="25">
        <f t="shared" si="0"/>
        <v>4757196.1179999998</v>
      </c>
      <c r="R12" s="25">
        <f t="shared" si="0"/>
        <v>4615598.0067328</v>
      </c>
      <c r="S12" s="25">
        <f t="shared" si="0"/>
        <v>4923169.4235920003</v>
      </c>
      <c r="T12" s="25">
        <f t="shared" si="0"/>
        <v>4814011.9809762137</v>
      </c>
      <c r="U12" s="26">
        <f t="shared" si="0"/>
        <v>5042838.7328108959</v>
      </c>
    </row>
    <row r="13" spans="1:24" s="27" customFormat="1" ht="15.6" x14ac:dyDescent="0.25">
      <c r="A13" s="22" t="s">
        <v>32</v>
      </c>
      <c r="B13" s="23" t="s">
        <v>33</v>
      </c>
      <c r="C13" s="24" t="s">
        <v>31</v>
      </c>
      <c r="D13" s="25">
        <v>1714082</v>
      </c>
      <c r="E13" s="28">
        <v>1714928.8</v>
      </c>
      <c r="F13" s="28"/>
      <c r="G13" s="25">
        <f>E13*0.98</f>
        <v>1680630.2239999999</v>
      </c>
      <c r="H13" s="25">
        <v>1769703.6258719999</v>
      </c>
      <c r="I13" s="25">
        <v>1185192</v>
      </c>
      <c r="J13" s="25">
        <v>1782799</v>
      </c>
      <c r="K13" s="25">
        <f>I13*1.005</f>
        <v>1191117.96</v>
      </c>
      <c r="L13" s="25">
        <f>J13*1.005</f>
        <v>1791712.9949999999</v>
      </c>
      <c r="M13" s="25">
        <v>1179200</v>
      </c>
      <c r="N13" s="25">
        <f>M13*100.5/100/12*12</f>
        <v>1185096</v>
      </c>
      <c r="O13" s="25">
        <f>M13*100.5/100</f>
        <v>1185096</v>
      </c>
      <c r="P13" s="25">
        <f>O13*103.89%</f>
        <v>1231196.2344</v>
      </c>
      <c r="Q13" s="25">
        <f>O13*104.3%</f>
        <v>1236055.128</v>
      </c>
      <c r="R13" s="25">
        <f>P13*103.7%</f>
        <v>1276750.4950728</v>
      </c>
      <c r="S13" s="25">
        <f>Q13*104.4%</f>
        <v>1290441.553632</v>
      </c>
      <c r="T13" s="25">
        <f>R13*103.7%</f>
        <v>1323990.2633904936</v>
      </c>
      <c r="U13" s="26">
        <f>S13*104.3%</f>
        <v>1345930.5404381759</v>
      </c>
    </row>
    <row r="14" spans="1:24" s="27" customFormat="1" ht="46.8" x14ac:dyDescent="0.25">
      <c r="A14" s="22" t="s">
        <v>34</v>
      </c>
      <c r="B14" s="29" t="s">
        <v>35</v>
      </c>
      <c r="C14" s="24" t="s">
        <v>31</v>
      </c>
      <c r="D14" s="25">
        <f>D15+D16+D17</f>
        <v>83928</v>
      </c>
      <c r="E14" s="25">
        <f>E15+E16+E17</f>
        <v>91759</v>
      </c>
      <c r="F14" s="25">
        <f>F15+F16+F17</f>
        <v>80271.7</v>
      </c>
      <c r="G14" s="25">
        <f>F14*0.98</f>
        <v>78666.265999999989</v>
      </c>
      <c r="H14" s="25">
        <v>82835.578097999984</v>
      </c>
      <c r="I14" s="25">
        <v>87800</v>
      </c>
      <c r="J14" s="25">
        <v>106747</v>
      </c>
      <c r="K14" s="25">
        <f t="shared" ref="K14:U14" si="1">K15+K16+K17</f>
        <v>107886</v>
      </c>
      <c r="L14" s="25">
        <f t="shared" si="1"/>
        <v>108442</v>
      </c>
      <c r="M14" s="25">
        <f t="shared" si="1"/>
        <v>110612</v>
      </c>
      <c r="N14" s="25">
        <f t="shared" si="1"/>
        <v>111718</v>
      </c>
      <c r="O14" s="25">
        <f t="shared" si="1"/>
        <v>111718</v>
      </c>
      <c r="P14" s="25">
        <f t="shared" si="1"/>
        <v>112835.18000000001</v>
      </c>
      <c r="Q14" s="25">
        <f t="shared" si="1"/>
        <v>112835.18000000001</v>
      </c>
      <c r="R14" s="25">
        <f t="shared" si="1"/>
        <v>113060.85036000001</v>
      </c>
      <c r="S14" s="25">
        <f t="shared" si="1"/>
        <v>113060.85036000001</v>
      </c>
      <c r="T14" s="25">
        <f t="shared" si="1"/>
        <v>113286.97206072001</v>
      </c>
      <c r="U14" s="26">
        <f t="shared" si="1"/>
        <v>113286.97206072001</v>
      </c>
    </row>
    <row r="15" spans="1:24" s="27" customFormat="1" ht="15.6" x14ac:dyDescent="0.25">
      <c r="A15" s="30"/>
      <c r="B15" s="31" t="s">
        <v>36</v>
      </c>
      <c r="C15" s="24" t="s">
        <v>31</v>
      </c>
      <c r="D15" s="32">
        <v>58626</v>
      </c>
      <c r="E15" s="32">
        <v>66960</v>
      </c>
      <c r="F15" s="32">
        <v>54204</v>
      </c>
      <c r="G15" s="25">
        <f>F15*1.1</f>
        <v>59624.4</v>
      </c>
      <c r="H15" s="25">
        <v>62784.493199999997</v>
      </c>
      <c r="I15" s="25">
        <v>58000</v>
      </c>
      <c r="J15" s="25">
        <v>72054.7</v>
      </c>
      <c r="K15" s="25">
        <v>73486</v>
      </c>
      <c r="L15" s="25">
        <v>74049</v>
      </c>
      <c r="M15" s="25">
        <v>75530</v>
      </c>
      <c r="N15" s="25">
        <f>76285/12*12</f>
        <v>76285</v>
      </c>
      <c r="O15" s="25">
        <v>76285</v>
      </c>
      <c r="P15" s="25">
        <f t="shared" ref="P15:P21" si="2">O15*101%</f>
        <v>77047.850000000006</v>
      </c>
      <c r="Q15" s="25">
        <f>O15*101%</f>
        <v>77047.850000000006</v>
      </c>
      <c r="R15" s="25">
        <f t="shared" ref="R15:U17" si="3">P15*100.2%</f>
        <v>77201.945700000011</v>
      </c>
      <c r="S15" s="25">
        <f t="shared" si="3"/>
        <v>77201.945700000011</v>
      </c>
      <c r="T15" s="25">
        <f t="shared" si="3"/>
        <v>77356.349591400009</v>
      </c>
      <c r="U15" s="26">
        <f t="shared" si="3"/>
        <v>77356.349591400009</v>
      </c>
    </row>
    <row r="16" spans="1:24" s="27" customFormat="1" ht="15.6" x14ac:dyDescent="0.25">
      <c r="A16" s="30"/>
      <c r="B16" s="31" t="s">
        <v>37</v>
      </c>
      <c r="C16" s="24" t="s">
        <v>31</v>
      </c>
      <c r="D16" s="32">
        <v>13797</v>
      </c>
      <c r="E16" s="32">
        <v>13523</v>
      </c>
      <c r="F16" s="32">
        <v>13058.7</v>
      </c>
      <c r="G16" s="25">
        <f>F16*1.07</f>
        <v>13972.809000000001</v>
      </c>
      <c r="H16" s="25">
        <v>14713.367877000001</v>
      </c>
      <c r="I16" s="25">
        <v>14950</v>
      </c>
      <c r="J16" s="25">
        <f>355.1*72.22</f>
        <v>25645.322</v>
      </c>
      <c r="K16" s="25">
        <v>25700</v>
      </c>
      <c r="L16" s="25">
        <v>25563</v>
      </c>
      <c r="M16" s="25">
        <v>26075</v>
      </c>
      <c r="N16" s="25">
        <f>26336/12*12</f>
        <v>26336</v>
      </c>
      <c r="O16" s="25">
        <v>26336</v>
      </c>
      <c r="P16" s="25">
        <f t="shared" si="2"/>
        <v>26599.360000000001</v>
      </c>
      <c r="Q16" s="25">
        <f>O16*101%</f>
        <v>26599.360000000001</v>
      </c>
      <c r="R16" s="25">
        <f t="shared" si="3"/>
        <v>26652.558720000001</v>
      </c>
      <c r="S16" s="25">
        <f t="shared" si="3"/>
        <v>26652.558720000001</v>
      </c>
      <c r="T16" s="25">
        <f t="shared" si="3"/>
        <v>26705.86383744</v>
      </c>
      <c r="U16" s="26">
        <f t="shared" si="3"/>
        <v>26705.86383744</v>
      </c>
    </row>
    <row r="17" spans="1:21" s="27" customFormat="1" ht="15.6" x14ac:dyDescent="0.25">
      <c r="A17" s="30"/>
      <c r="B17" s="31" t="s">
        <v>38</v>
      </c>
      <c r="C17" s="24" t="s">
        <v>31</v>
      </c>
      <c r="D17" s="32">
        <v>11505</v>
      </c>
      <c r="E17" s="32">
        <v>11276</v>
      </c>
      <c r="F17" s="32">
        <v>13009</v>
      </c>
      <c r="G17" s="25">
        <f>F17*1.07</f>
        <v>13919.630000000001</v>
      </c>
      <c r="H17" s="25">
        <v>14657.37039</v>
      </c>
      <c r="I17" s="25">
        <v>14850</v>
      </c>
      <c r="J17" s="25">
        <f>53.2*161.64</f>
        <v>8599.2479999999996</v>
      </c>
      <c r="K17" s="25">
        <v>8700</v>
      </c>
      <c r="L17" s="25">
        <v>8830</v>
      </c>
      <c r="M17" s="25">
        <v>9007</v>
      </c>
      <c r="N17" s="25">
        <f>9097/12*12</f>
        <v>9097</v>
      </c>
      <c r="O17" s="25">
        <v>9097</v>
      </c>
      <c r="P17" s="25">
        <f t="shared" si="2"/>
        <v>9187.9699999999993</v>
      </c>
      <c r="Q17" s="25">
        <f>O17*101%</f>
        <v>9187.9699999999993</v>
      </c>
      <c r="R17" s="25">
        <f t="shared" si="3"/>
        <v>9206.3459399999992</v>
      </c>
      <c r="S17" s="25">
        <f t="shared" si="3"/>
        <v>9206.3459399999992</v>
      </c>
      <c r="T17" s="25">
        <f t="shared" si="3"/>
        <v>9224.7586318799986</v>
      </c>
      <c r="U17" s="26">
        <f t="shared" si="3"/>
        <v>9224.7586318799986</v>
      </c>
    </row>
    <row r="18" spans="1:21" s="27" customFormat="1" ht="15.6" x14ac:dyDescent="0.25">
      <c r="A18" s="22" t="s">
        <v>39</v>
      </c>
      <c r="B18" s="29" t="s">
        <v>40</v>
      </c>
      <c r="C18" s="24" t="s">
        <v>31</v>
      </c>
      <c r="D18" s="33">
        <v>6188.52</v>
      </c>
      <c r="E18" s="33">
        <v>7680</v>
      </c>
      <c r="F18" s="33">
        <v>7680</v>
      </c>
      <c r="G18" s="25">
        <v>8432.6</v>
      </c>
      <c r="H18" s="25">
        <v>7646.2080000000005</v>
      </c>
      <c r="I18" s="34">
        <v>7890</v>
      </c>
      <c r="J18" s="34">
        <f>J28*38</f>
        <v>4715.8</v>
      </c>
      <c r="K18" s="34">
        <v>5600</v>
      </c>
      <c r="L18" s="34">
        <v>4904.45</v>
      </c>
      <c r="M18" s="34">
        <v>0</v>
      </c>
      <c r="N18" s="34">
        <v>0</v>
      </c>
      <c r="O18" s="34">
        <v>0</v>
      </c>
      <c r="P18" s="34">
        <f t="shared" si="2"/>
        <v>0</v>
      </c>
      <c r="Q18" s="34">
        <f>O18*100%</f>
        <v>0</v>
      </c>
      <c r="R18" s="34">
        <f>P18*100.3%</f>
        <v>0</v>
      </c>
      <c r="S18" s="34">
        <f>Q18*100.1%</f>
        <v>0</v>
      </c>
      <c r="T18" s="34">
        <f>R18*100.2%</f>
        <v>0</v>
      </c>
      <c r="U18" s="35">
        <f>S18*100.1%</f>
        <v>0</v>
      </c>
    </row>
    <row r="19" spans="1:21" s="27" customFormat="1" ht="15.6" x14ac:dyDescent="0.25">
      <c r="A19" s="36" t="s">
        <v>41</v>
      </c>
      <c r="B19" s="29" t="s">
        <v>42</v>
      </c>
      <c r="C19" s="24" t="s">
        <v>31</v>
      </c>
      <c r="D19" s="32">
        <v>852084</v>
      </c>
      <c r="E19" s="32">
        <v>835041</v>
      </c>
      <c r="F19" s="32">
        <v>891415</v>
      </c>
      <c r="G19" s="25">
        <v>893112</v>
      </c>
      <c r="H19" s="25">
        <v>971815.80599999998</v>
      </c>
      <c r="I19" s="34">
        <v>988960</v>
      </c>
      <c r="J19" s="34">
        <v>1695233</v>
      </c>
      <c r="K19" s="25">
        <v>1783325</v>
      </c>
      <c r="L19" s="25">
        <v>1628714</v>
      </c>
      <c r="M19" s="102">
        <v>1640660</v>
      </c>
      <c r="N19" s="102">
        <v>3297631</v>
      </c>
      <c r="O19" s="25">
        <v>2540350</v>
      </c>
      <c r="P19" s="34">
        <f t="shared" si="2"/>
        <v>2565753.5</v>
      </c>
      <c r="Q19" s="25">
        <f>O19*108%</f>
        <v>2743578</v>
      </c>
      <c r="R19" s="25">
        <f>P19*100.3%</f>
        <v>2573450.7604999999</v>
      </c>
      <c r="S19" s="25">
        <f>Q19*103%</f>
        <v>2825885.34</v>
      </c>
      <c r="T19" s="25">
        <f>R19*1.05</f>
        <v>2702123.298525</v>
      </c>
      <c r="U19" s="26">
        <f t="shared" ref="U19" si="4">S19*101%</f>
        <v>2854144.1933999998</v>
      </c>
    </row>
    <row r="20" spans="1:21" s="27" customFormat="1" ht="15.6" x14ac:dyDescent="0.25">
      <c r="A20" s="36" t="s">
        <v>43</v>
      </c>
      <c r="B20" s="31" t="s">
        <v>44</v>
      </c>
      <c r="C20" s="24" t="s">
        <v>31</v>
      </c>
      <c r="D20" s="32">
        <v>7958</v>
      </c>
      <c r="E20" s="32">
        <v>64624</v>
      </c>
      <c r="F20" s="32">
        <v>64624</v>
      </c>
      <c r="G20" s="25">
        <v>65916.5</v>
      </c>
      <c r="H20" s="25">
        <v>66018.887999999992</v>
      </c>
      <c r="I20" s="34">
        <v>61400</v>
      </c>
      <c r="J20" s="34">
        <v>66523</v>
      </c>
      <c r="K20" s="25">
        <v>67854</v>
      </c>
      <c r="L20" s="25">
        <v>67855</v>
      </c>
      <c r="M20" s="25">
        <v>70050</v>
      </c>
      <c r="N20" s="25">
        <f>70050/12*12</f>
        <v>70050</v>
      </c>
      <c r="O20" s="25">
        <v>72852</v>
      </c>
      <c r="P20" s="34">
        <f t="shared" si="2"/>
        <v>73580.52</v>
      </c>
      <c r="Q20" s="25">
        <f>O20*103%</f>
        <v>75037.56</v>
      </c>
      <c r="R20" s="25">
        <f>P20*1.01</f>
        <v>74316.325200000007</v>
      </c>
      <c r="S20" s="25">
        <f>Q20*1.03</f>
        <v>77288.686799999996</v>
      </c>
      <c r="T20" s="25">
        <f>R20*1.01</f>
        <v>75059.488452000005</v>
      </c>
      <c r="U20" s="26">
        <f>S20*1.03</f>
        <v>79607.347404</v>
      </c>
    </row>
    <row r="21" spans="1:21" s="27" customFormat="1" ht="15.6" x14ac:dyDescent="0.25">
      <c r="A21" s="36" t="s">
        <v>45</v>
      </c>
      <c r="B21" s="31" t="s">
        <v>46</v>
      </c>
      <c r="C21" s="24" t="s">
        <v>31</v>
      </c>
      <c r="D21" s="32">
        <v>31911.84</v>
      </c>
      <c r="E21" s="32">
        <v>31275</v>
      </c>
      <c r="F21" s="32">
        <v>31275</v>
      </c>
      <c r="G21" s="25">
        <v>34371.199999999997</v>
      </c>
      <c r="H21" s="25">
        <v>32273.923499999997</v>
      </c>
      <c r="I21" s="34">
        <v>31250</v>
      </c>
      <c r="J21" s="34">
        <v>29105</v>
      </c>
      <c r="K21" s="25">
        <v>29000</v>
      </c>
      <c r="L21" s="25">
        <v>26519</v>
      </c>
      <c r="M21" s="25">
        <v>26254</v>
      </c>
      <c r="N21" s="25">
        <f>26258/12*12</f>
        <v>26258</v>
      </c>
      <c r="O21" s="25">
        <v>26258</v>
      </c>
      <c r="P21" s="34">
        <f t="shared" si="2"/>
        <v>26520.58</v>
      </c>
      <c r="Q21" s="25">
        <f>O21*103%</f>
        <v>27045.74</v>
      </c>
      <c r="R21" s="25">
        <f>P21*1.01</f>
        <v>26785.785800000001</v>
      </c>
      <c r="S21" s="25">
        <f>Q21*1.03</f>
        <v>27857.112200000003</v>
      </c>
      <c r="T21" s="25">
        <f>R21*1.01</f>
        <v>27053.643658000001</v>
      </c>
      <c r="U21" s="26">
        <f>S21*1.03</f>
        <v>28692.825566000003</v>
      </c>
    </row>
    <row r="22" spans="1:21" s="27" customFormat="1" ht="15.6" outlineLevel="1" x14ac:dyDescent="0.25">
      <c r="A22" s="36" t="s">
        <v>47</v>
      </c>
      <c r="B22" s="37" t="s">
        <v>48</v>
      </c>
      <c r="C22" s="24" t="s">
        <v>31</v>
      </c>
      <c r="D22" s="32"/>
      <c r="E22" s="32">
        <v>149067</v>
      </c>
      <c r="F22" s="32">
        <v>149100</v>
      </c>
      <c r="G22" s="25">
        <f>F22*1.3</f>
        <v>193830</v>
      </c>
      <c r="H22" s="25">
        <v>105600</v>
      </c>
      <c r="I22" s="25">
        <v>0</v>
      </c>
      <c r="J22" s="25">
        <v>0</v>
      </c>
      <c r="K22" s="25">
        <v>0</v>
      </c>
      <c r="L22" s="25"/>
      <c r="M22" s="25"/>
      <c r="N22" s="34">
        <v>145787.69</v>
      </c>
      <c r="O22" s="25">
        <v>140300</v>
      </c>
      <c r="P22" s="25">
        <f>O22*0.99</f>
        <v>138897</v>
      </c>
      <c r="Q22" s="25">
        <f>O22*1.02</f>
        <v>143106</v>
      </c>
      <c r="R22" s="25">
        <f>P22*1.01</f>
        <v>140285.97</v>
      </c>
      <c r="S22" s="25">
        <f>Q22*1.01</f>
        <v>144537.06</v>
      </c>
      <c r="T22" s="25">
        <f>R22*1.01</f>
        <v>141688.8297</v>
      </c>
      <c r="U22" s="26">
        <f>S22*1.015</f>
        <v>146705.11589999998</v>
      </c>
    </row>
    <row r="23" spans="1:21" s="27" customFormat="1" ht="15.6" outlineLevel="1" x14ac:dyDescent="0.25">
      <c r="A23" s="36" t="s">
        <v>47</v>
      </c>
      <c r="B23" s="31" t="s">
        <v>49</v>
      </c>
      <c r="C23" s="24" t="s">
        <v>31</v>
      </c>
      <c r="D23" s="32"/>
      <c r="E23" s="32"/>
      <c r="F23" s="32"/>
      <c r="G23" s="25"/>
      <c r="H23" s="25"/>
      <c r="I23" s="25"/>
      <c r="J23" s="25">
        <v>56936</v>
      </c>
      <c r="K23" s="25">
        <v>0</v>
      </c>
      <c r="L23" s="25">
        <v>0</v>
      </c>
      <c r="M23" s="25"/>
      <c r="N23" s="25">
        <v>427502</v>
      </c>
      <c r="O23" s="25">
        <v>407302</v>
      </c>
      <c r="P23" s="25">
        <f>O23*0.98</f>
        <v>399155.96</v>
      </c>
      <c r="Q23" s="25">
        <f>O23*1.005</f>
        <v>409338.50999999995</v>
      </c>
      <c r="R23" s="25">
        <f>P23*1.005</f>
        <v>401151.73979999998</v>
      </c>
      <c r="S23" s="25">
        <f>Q23*1.06</f>
        <v>433898.82059999998</v>
      </c>
      <c r="T23" s="25">
        <f>R23*1.05</f>
        <v>421209.32679000002</v>
      </c>
      <c r="U23" s="26">
        <f>S23*1.07</f>
        <v>464271.73804199998</v>
      </c>
    </row>
    <row r="24" spans="1:21" s="27" customFormat="1" ht="15.6" x14ac:dyDescent="0.25">
      <c r="A24" s="36" t="s">
        <v>47</v>
      </c>
      <c r="B24" s="31" t="s">
        <v>50</v>
      </c>
      <c r="C24" s="24" t="s">
        <v>31</v>
      </c>
      <c r="D24" s="32"/>
      <c r="E24" s="32"/>
      <c r="F24" s="32"/>
      <c r="G24" s="25"/>
      <c r="H24" s="25"/>
      <c r="I24" s="25"/>
      <c r="J24" s="25">
        <v>101934</v>
      </c>
      <c r="K24" s="25">
        <v>50200</v>
      </c>
      <c r="L24" s="25">
        <v>48300</v>
      </c>
      <c r="M24" s="25">
        <v>20130</v>
      </c>
      <c r="N24" s="25">
        <f>18300/12*12</f>
        <v>18300</v>
      </c>
      <c r="O24" s="25">
        <v>10200</v>
      </c>
      <c r="P24" s="25">
        <f>O24*98%</f>
        <v>9996</v>
      </c>
      <c r="Q24" s="25">
        <f>O24*1</f>
        <v>10200</v>
      </c>
      <c r="R24" s="25">
        <f>P24*98%</f>
        <v>9796.08</v>
      </c>
      <c r="S24" s="25">
        <f>Q24*1</f>
        <v>10200</v>
      </c>
      <c r="T24" s="25">
        <f>R24*98%</f>
        <v>9600.1584000000003</v>
      </c>
      <c r="U24" s="26">
        <f>S24*1</f>
        <v>10200</v>
      </c>
    </row>
    <row r="25" spans="1:21" s="27" customFormat="1" ht="46.8" x14ac:dyDescent="0.25">
      <c r="A25" s="22" t="s">
        <v>51</v>
      </c>
      <c r="B25" s="29" t="s">
        <v>52</v>
      </c>
      <c r="C25" s="24" t="s">
        <v>53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38"/>
      <c r="P25" s="38"/>
      <c r="Q25" s="38"/>
      <c r="R25" s="38"/>
      <c r="S25" s="38"/>
      <c r="T25" s="38"/>
      <c r="U25" s="103"/>
    </row>
    <row r="26" spans="1:21" s="27" customFormat="1" ht="15.6" x14ac:dyDescent="0.25">
      <c r="A26" s="22"/>
      <c r="B26" s="29" t="s">
        <v>54</v>
      </c>
      <c r="C26" s="24" t="s">
        <v>55</v>
      </c>
      <c r="D26" s="28">
        <f>50.8*1.011</f>
        <v>51.358799999999995</v>
      </c>
      <c r="E26" s="28">
        <v>47.75</v>
      </c>
      <c r="F26" s="28">
        <v>45.3</v>
      </c>
      <c r="G26" s="28">
        <f>F26*0.98</f>
        <v>44.393999999999998</v>
      </c>
      <c r="H26" s="28">
        <v>45.104303999999999</v>
      </c>
      <c r="I26" s="28">
        <v>42.8</v>
      </c>
      <c r="J26" s="28">
        <v>42.5</v>
      </c>
      <c r="K26" s="39">
        <v>43.3</v>
      </c>
      <c r="L26" s="39">
        <v>43.2</v>
      </c>
      <c r="M26" s="39">
        <v>43.3</v>
      </c>
      <c r="N26" s="39">
        <f>43.3/12*12</f>
        <v>43.3</v>
      </c>
      <c r="O26" s="39">
        <v>43.3</v>
      </c>
      <c r="P26" s="28">
        <f>O26*101%</f>
        <v>43.732999999999997</v>
      </c>
      <c r="Q26" s="39">
        <f>O26*101%</f>
        <v>43.732999999999997</v>
      </c>
      <c r="R26" s="28">
        <f t="shared" ref="R26:U27" si="5">P26*100.2%</f>
        <v>43.820465999999996</v>
      </c>
      <c r="S26" s="28">
        <f t="shared" si="5"/>
        <v>43.820465999999996</v>
      </c>
      <c r="T26" s="28">
        <f t="shared" si="5"/>
        <v>43.908106931999995</v>
      </c>
      <c r="U26" s="40">
        <f t="shared" si="5"/>
        <v>43.908106931999995</v>
      </c>
    </row>
    <row r="27" spans="1:21" s="27" customFormat="1" ht="15.6" x14ac:dyDescent="0.25">
      <c r="A27" s="22"/>
      <c r="B27" s="29" t="s">
        <v>56</v>
      </c>
      <c r="C27" s="24" t="s">
        <v>57</v>
      </c>
      <c r="D27" s="25">
        <v>523.5</v>
      </c>
      <c r="E27" s="28">
        <v>429</v>
      </c>
      <c r="F27" s="28">
        <v>510.7</v>
      </c>
      <c r="G27" s="28">
        <f>F27*0.98</f>
        <v>500.48599999999999</v>
      </c>
      <c r="H27" s="28">
        <v>508.49377600000003</v>
      </c>
      <c r="I27" s="28">
        <v>505.6</v>
      </c>
      <c r="J27" s="28">
        <v>408.3</v>
      </c>
      <c r="K27" s="39">
        <v>409.2</v>
      </c>
      <c r="L27" s="39">
        <v>401</v>
      </c>
      <c r="M27" s="39">
        <v>409.6</v>
      </c>
      <c r="N27" s="39">
        <f>409.6/12*12</f>
        <v>409.6</v>
      </c>
      <c r="O27" s="39">
        <v>409.6</v>
      </c>
      <c r="P27" s="28">
        <f>O27*101%</f>
        <v>413.69600000000003</v>
      </c>
      <c r="Q27" s="39">
        <f>O27*101%</f>
        <v>413.69600000000003</v>
      </c>
      <c r="R27" s="28">
        <f t="shared" si="5"/>
        <v>414.523392</v>
      </c>
      <c r="S27" s="28">
        <f t="shared" si="5"/>
        <v>414.523392</v>
      </c>
      <c r="T27" s="28">
        <f t="shared" si="5"/>
        <v>415.35243878400001</v>
      </c>
      <c r="U27" s="40">
        <f t="shared" si="5"/>
        <v>415.35243878400001</v>
      </c>
    </row>
    <row r="28" spans="1:21" s="27" customFormat="1" ht="15.6" x14ac:dyDescent="0.25">
      <c r="A28" s="41" t="s">
        <v>58</v>
      </c>
      <c r="B28" s="29" t="s">
        <v>59</v>
      </c>
      <c r="C28" s="24" t="s">
        <v>60</v>
      </c>
      <c r="D28" s="42">
        <v>213.4</v>
      </c>
      <c r="E28" s="42">
        <v>213.3</v>
      </c>
      <c r="F28" s="42">
        <v>214</v>
      </c>
      <c r="G28" s="42">
        <f>F28*1.1</f>
        <v>235.4</v>
      </c>
      <c r="H28" s="42">
        <v>246.69920000000002</v>
      </c>
      <c r="I28" s="43">
        <v>225.3</v>
      </c>
      <c r="J28" s="43">
        <v>124.1</v>
      </c>
      <c r="K28" s="42">
        <v>147.4</v>
      </c>
      <c r="L28" s="42">
        <v>125.3</v>
      </c>
      <c r="M28" s="42">
        <v>0</v>
      </c>
      <c r="N28" s="42">
        <v>0</v>
      </c>
      <c r="O28" s="42">
        <v>0</v>
      </c>
      <c r="P28" s="43">
        <f t="shared" ref="P28" si="6">O28*102%</f>
        <v>0</v>
      </c>
      <c r="Q28" s="42">
        <f>O28*1</f>
        <v>0</v>
      </c>
      <c r="R28" s="42">
        <f>P28*1.005</f>
        <v>0</v>
      </c>
      <c r="S28" s="42">
        <f>Q28*1.005</f>
        <v>0</v>
      </c>
      <c r="T28" s="42">
        <f>R28*1.006</f>
        <v>0</v>
      </c>
      <c r="U28" s="44">
        <f>S28*1.006</f>
        <v>0</v>
      </c>
    </row>
    <row r="29" spans="1:21" s="27" customFormat="1" ht="15.6" x14ac:dyDescent="0.25">
      <c r="A29" s="22" t="s">
        <v>61</v>
      </c>
      <c r="B29" s="29" t="s">
        <v>42</v>
      </c>
      <c r="C29" s="24" t="s">
        <v>62</v>
      </c>
      <c r="D29" s="25">
        <v>1298</v>
      </c>
      <c r="E29" s="25">
        <v>1297</v>
      </c>
      <c r="F29" s="25">
        <v>1328</v>
      </c>
      <c r="G29" s="25">
        <f>F29*1.1</f>
        <v>1460.8000000000002</v>
      </c>
      <c r="H29" s="25">
        <v>1538.2224000000001</v>
      </c>
      <c r="I29" s="25">
        <v>1519</v>
      </c>
      <c r="J29" s="25">
        <v>2401</v>
      </c>
      <c r="K29" s="25">
        <v>2526</v>
      </c>
      <c r="L29" s="25">
        <v>2307</v>
      </c>
      <c r="M29" s="102">
        <v>2526</v>
      </c>
      <c r="N29" s="102">
        <v>2238</v>
      </c>
      <c r="O29" s="25">
        <v>1724</v>
      </c>
      <c r="P29" s="25">
        <f>O29*1.06</f>
        <v>1827.44</v>
      </c>
      <c r="Q29" s="25">
        <f>O29*1.12</f>
        <v>1930.88</v>
      </c>
      <c r="R29" s="25">
        <f>P29*1.08</f>
        <v>1973.6352000000002</v>
      </c>
      <c r="S29" s="25">
        <f>Q29*1.12</f>
        <v>2162.5856000000003</v>
      </c>
      <c r="T29" s="25">
        <f>R29*1.08</f>
        <v>2131.5260160000003</v>
      </c>
      <c r="U29" s="26">
        <f>S29*1.12</f>
        <v>2422.0958720000008</v>
      </c>
    </row>
    <row r="30" spans="1:21" s="27" customFormat="1" ht="15.6" x14ac:dyDescent="0.25">
      <c r="A30" s="22" t="s">
        <v>63</v>
      </c>
      <c r="B30" s="31" t="s">
        <v>44</v>
      </c>
      <c r="C30" s="24" t="s">
        <v>64</v>
      </c>
      <c r="D30" s="25">
        <v>20041</v>
      </c>
      <c r="E30" s="25">
        <v>41821</v>
      </c>
      <c r="F30" s="25">
        <v>43524</v>
      </c>
      <c r="G30" s="25">
        <v>44120</v>
      </c>
      <c r="H30" s="25">
        <v>50413.849199999997</v>
      </c>
      <c r="I30" s="25">
        <v>50799</v>
      </c>
      <c r="J30" s="25">
        <v>49952</v>
      </c>
      <c r="K30" s="25">
        <v>50951</v>
      </c>
      <c r="L30" s="25">
        <v>50951</v>
      </c>
      <c r="M30" s="25">
        <v>51000</v>
      </c>
      <c r="N30" s="25">
        <f>51000/12*12</f>
        <v>51000</v>
      </c>
      <c r="O30" s="25">
        <v>51000</v>
      </c>
      <c r="P30" s="25">
        <v>51000</v>
      </c>
      <c r="Q30" s="25">
        <f>O30*1.01</f>
        <v>51510</v>
      </c>
      <c r="R30" s="25">
        <f>P30</f>
        <v>51000</v>
      </c>
      <c r="S30" s="25">
        <f>Q30*1</f>
        <v>51510</v>
      </c>
      <c r="T30" s="25">
        <f>R30</f>
        <v>51000</v>
      </c>
      <c r="U30" s="26">
        <f>S30*1.002</f>
        <v>51613.02</v>
      </c>
    </row>
    <row r="31" spans="1:21" s="27" customFormat="1" ht="15.6" x14ac:dyDescent="0.25">
      <c r="A31" s="22" t="s">
        <v>65</v>
      </c>
      <c r="B31" s="31" t="s">
        <v>46</v>
      </c>
      <c r="C31" s="24" t="s">
        <v>62</v>
      </c>
      <c r="D31" s="25">
        <v>500</v>
      </c>
      <c r="E31" s="25">
        <v>491</v>
      </c>
      <c r="F31" s="25">
        <v>513</v>
      </c>
      <c r="G31" s="25">
        <f>F31*1.1</f>
        <v>564.30000000000007</v>
      </c>
      <c r="H31" s="25">
        <v>594.2079</v>
      </c>
      <c r="I31" s="25">
        <v>598</v>
      </c>
      <c r="J31" s="25">
        <v>528</v>
      </c>
      <c r="K31" s="25">
        <v>526</v>
      </c>
      <c r="L31" s="25">
        <v>481</v>
      </c>
      <c r="M31" s="25">
        <v>515</v>
      </c>
      <c r="N31" s="25">
        <f>495/12*12</f>
        <v>495</v>
      </c>
      <c r="O31" s="25">
        <v>501</v>
      </c>
      <c r="P31" s="25">
        <f>O31*101%</f>
        <v>506.01</v>
      </c>
      <c r="Q31" s="25">
        <f>O31*1.03</f>
        <v>516.03</v>
      </c>
      <c r="R31" s="25">
        <f>P31*1.01</f>
        <v>511.07009999999997</v>
      </c>
      <c r="S31" s="25">
        <f>Q31*1.02</f>
        <v>526.35059999999999</v>
      </c>
      <c r="T31" s="25">
        <f>R31</f>
        <v>511.07009999999997</v>
      </c>
      <c r="U31" s="26">
        <f>S31*1.01</f>
        <v>531.61410599999999</v>
      </c>
    </row>
    <row r="32" spans="1:21" s="27" customFormat="1" ht="15.6" x14ac:dyDescent="0.25">
      <c r="A32" s="22" t="s">
        <v>66</v>
      </c>
      <c r="B32" s="37" t="s">
        <v>48</v>
      </c>
      <c r="C32" s="45" t="s">
        <v>62</v>
      </c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>
        <v>59892</v>
      </c>
      <c r="O32" s="25">
        <v>57637</v>
      </c>
      <c r="P32" s="25">
        <f>O32</f>
        <v>57637</v>
      </c>
      <c r="Q32" s="25">
        <f>O32*1.01</f>
        <v>58213.37</v>
      </c>
      <c r="R32" s="25">
        <f>O32</f>
        <v>57637</v>
      </c>
      <c r="S32" s="25">
        <f>Q32*1.02</f>
        <v>59377.637400000007</v>
      </c>
      <c r="T32" s="25">
        <f>O32</f>
        <v>57637</v>
      </c>
      <c r="U32" s="26">
        <f>S32*1.03</f>
        <v>61158.96652200001</v>
      </c>
    </row>
    <row r="33" spans="1:21" s="27" customFormat="1" ht="15.6" outlineLevel="1" x14ac:dyDescent="0.25">
      <c r="A33" s="22" t="s">
        <v>67</v>
      </c>
      <c r="B33" s="31" t="s">
        <v>49</v>
      </c>
      <c r="C33" s="24" t="s">
        <v>68</v>
      </c>
      <c r="D33" s="33">
        <v>0.05</v>
      </c>
      <c r="E33" s="33">
        <v>0.06</v>
      </c>
      <c r="F33" s="33">
        <v>7.0000000000000007E-2</v>
      </c>
      <c r="G33" s="33">
        <v>0.1</v>
      </c>
      <c r="H33" s="33">
        <v>0</v>
      </c>
      <c r="I33" s="33">
        <v>0</v>
      </c>
      <c r="J33" s="33">
        <v>0</v>
      </c>
      <c r="K33" s="33">
        <v>0</v>
      </c>
      <c r="L33" s="33"/>
      <c r="M33" s="33"/>
      <c r="N33" s="33">
        <v>587.38400000000001</v>
      </c>
      <c r="O33" s="33">
        <v>559.57000000000005</v>
      </c>
      <c r="P33" s="33">
        <f>O33</f>
        <v>559.57000000000005</v>
      </c>
      <c r="Q33" s="33">
        <f>O33*1.01</f>
        <v>565.16570000000002</v>
      </c>
      <c r="R33" s="33">
        <f>O33</f>
        <v>559.57000000000005</v>
      </c>
      <c r="S33" s="33">
        <f>Q33*1.02</f>
        <v>576.46901400000002</v>
      </c>
      <c r="T33" s="33">
        <f>O33</f>
        <v>559.57000000000005</v>
      </c>
      <c r="U33" s="46">
        <f>S33*1.03</f>
        <v>593.76308442000004</v>
      </c>
    </row>
    <row r="34" spans="1:21" s="27" customFormat="1" ht="31.2" x14ac:dyDescent="0.25">
      <c r="A34" s="47" t="s">
        <v>69</v>
      </c>
      <c r="B34" s="48" t="s">
        <v>70</v>
      </c>
      <c r="C34" s="24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38"/>
      <c r="O34" s="38"/>
      <c r="P34" s="38"/>
      <c r="Q34" s="38"/>
      <c r="R34" s="38"/>
      <c r="S34" s="38"/>
      <c r="T34" s="38"/>
      <c r="U34" s="103"/>
    </row>
    <row r="35" spans="1:21" s="27" customFormat="1" ht="46.8" x14ac:dyDescent="0.25">
      <c r="A35" s="22" t="s">
        <v>29</v>
      </c>
      <c r="B35" s="29" t="s">
        <v>71</v>
      </c>
      <c r="C35" s="24" t="s">
        <v>53</v>
      </c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38"/>
      <c r="O35" s="38"/>
      <c r="P35" s="38"/>
      <c r="Q35" s="38"/>
      <c r="R35" s="38"/>
      <c r="S35" s="38"/>
      <c r="T35" s="38"/>
      <c r="U35" s="103"/>
    </row>
    <row r="36" spans="1:21" s="27" customFormat="1" ht="15.6" x14ac:dyDescent="0.25">
      <c r="A36" s="22"/>
      <c r="B36" s="29" t="s">
        <v>72</v>
      </c>
      <c r="C36" s="24" t="s">
        <v>73</v>
      </c>
      <c r="D36" s="33">
        <f>D39+D40+D42+D43+D45</f>
        <v>74.709999999999994</v>
      </c>
      <c r="E36" s="33">
        <v>67.5</v>
      </c>
      <c r="F36" s="33">
        <v>33.6</v>
      </c>
      <c r="G36" s="49">
        <f t="shared" ref="G36" si="7">G39+G40+G42+G43+G45</f>
        <v>15.7</v>
      </c>
      <c r="H36" s="33">
        <v>5.5019999999999998</v>
      </c>
      <c r="I36" s="33">
        <v>3</v>
      </c>
      <c r="J36" s="33">
        <v>4.01</v>
      </c>
      <c r="K36" s="33">
        <v>3.1</v>
      </c>
      <c r="L36" s="33">
        <v>2.5</v>
      </c>
      <c r="M36" s="33">
        <v>0</v>
      </c>
      <c r="N36" s="33">
        <v>0</v>
      </c>
      <c r="O36" s="33">
        <v>0</v>
      </c>
      <c r="P36" s="33">
        <v>0</v>
      </c>
      <c r="Q36" s="33">
        <v>1.1000000000000001</v>
      </c>
      <c r="R36" s="33">
        <f>P36*102%</f>
        <v>0</v>
      </c>
      <c r="S36" s="33">
        <f>Q36*1.05</f>
        <v>1.1550000000000002</v>
      </c>
      <c r="T36" s="33">
        <f>R36*102%</f>
        <v>0</v>
      </c>
      <c r="U36" s="46">
        <f>S36*1.06</f>
        <v>1.2243000000000004</v>
      </c>
    </row>
    <row r="37" spans="1:21" s="27" customFormat="1" ht="15.6" hidden="1" outlineLevel="1" x14ac:dyDescent="0.25">
      <c r="A37" s="22"/>
      <c r="B37" s="29" t="s">
        <v>74</v>
      </c>
      <c r="C37" s="24"/>
      <c r="D37" s="33">
        <f>D41</f>
        <v>3.25</v>
      </c>
      <c r="E37" s="33">
        <f>E41</f>
        <v>0</v>
      </c>
      <c r="F37" s="33">
        <f>F41</f>
        <v>0</v>
      </c>
      <c r="G37" s="49">
        <f>F37*0.95</f>
        <v>0</v>
      </c>
      <c r="H37" s="50">
        <v>0</v>
      </c>
      <c r="I37" s="50"/>
      <c r="J37" s="50"/>
      <c r="K37" s="50"/>
      <c r="L37" s="50"/>
      <c r="M37" s="50"/>
      <c r="N37" s="50"/>
      <c r="O37" s="50"/>
      <c r="P37" s="50"/>
      <c r="Q37" s="50"/>
      <c r="R37" s="51">
        <f t="shared" ref="R37:R43" si="8">P37*1.015</f>
        <v>0</v>
      </c>
      <c r="S37" s="51">
        <f t="shared" ref="S37:S43" si="9">Q37*1.02</f>
        <v>0</v>
      </c>
      <c r="T37" s="51">
        <f t="shared" ref="T37:U43" si="10">R37*1.017</f>
        <v>0</v>
      </c>
      <c r="U37" s="52">
        <f t="shared" si="10"/>
        <v>0</v>
      </c>
    </row>
    <row r="38" spans="1:21" s="27" customFormat="1" ht="15.6" hidden="1" outlineLevel="1" x14ac:dyDescent="0.25">
      <c r="A38" s="22"/>
      <c r="B38" s="29" t="s">
        <v>75</v>
      </c>
      <c r="C38" s="24" t="s">
        <v>76</v>
      </c>
      <c r="D38" s="50">
        <v>8.0000000000000002E-3</v>
      </c>
      <c r="E38" s="50">
        <v>5.0000000000000001E-3</v>
      </c>
      <c r="F38" s="50">
        <v>5.0000000000000001E-3</v>
      </c>
      <c r="G38" s="49">
        <f>F38*0.95</f>
        <v>4.7499999999999999E-3</v>
      </c>
      <c r="H38" s="50">
        <v>4.9779999999999998E-3</v>
      </c>
      <c r="I38" s="50"/>
      <c r="J38" s="50"/>
      <c r="K38" s="50"/>
      <c r="L38" s="50"/>
      <c r="M38" s="50"/>
      <c r="N38" s="50"/>
      <c r="O38" s="50"/>
      <c r="P38" s="50"/>
      <c r="Q38" s="50"/>
      <c r="R38" s="51">
        <f t="shared" si="8"/>
        <v>0</v>
      </c>
      <c r="S38" s="51">
        <f t="shared" si="9"/>
        <v>0</v>
      </c>
      <c r="T38" s="51">
        <f t="shared" si="10"/>
        <v>0</v>
      </c>
      <c r="U38" s="52">
        <f t="shared" si="10"/>
        <v>0</v>
      </c>
    </row>
    <row r="39" spans="1:21" s="27" customFormat="1" ht="15.6" hidden="1" outlineLevel="1" x14ac:dyDescent="0.25">
      <c r="A39" s="30" t="s">
        <v>32</v>
      </c>
      <c r="B39" s="31" t="s">
        <v>77</v>
      </c>
      <c r="C39" s="53" t="s">
        <v>73</v>
      </c>
      <c r="D39" s="54">
        <v>10</v>
      </c>
      <c r="E39" s="54">
        <v>7.5</v>
      </c>
      <c r="F39" s="54">
        <v>7.5</v>
      </c>
      <c r="G39" s="49">
        <v>5.3</v>
      </c>
      <c r="H39" s="50">
        <v>5.5020000000000007</v>
      </c>
      <c r="I39" s="50">
        <v>3</v>
      </c>
      <c r="J39" s="50">
        <v>0</v>
      </c>
      <c r="K39" s="50">
        <v>0</v>
      </c>
      <c r="L39" s="50"/>
      <c r="M39" s="50"/>
      <c r="N39" s="50">
        <v>0</v>
      </c>
      <c r="O39" s="50">
        <v>0</v>
      </c>
      <c r="P39" s="50">
        <v>3</v>
      </c>
      <c r="Q39" s="50">
        <v>0</v>
      </c>
      <c r="R39" s="51">
        <f t="shared" si="8"/>
        <v>3.0449999999999999</v>
      </c>
      <c r="S39" s="51">
        <f t="shared" si="9"/>
        <v>0</v>
      </c>
      <c r="T39" s="51">
        <f t="shared" si="10"/>
        <v>3.0967649999999995</v>
      </c>
      <c r="U39" s="52">
        <f t="shared" si="10"/>
        <v>0</v>
      </c>
    </row>
    <row r="40" spans="1:21" s="27" customFormat="1" ht="15.6" hidden="1" outlineLevel="1" x14ac:dyDescent="0.25">
      <c r="A40" s="30" t="s">
        <v>34</v>
      </c>
      <c r="B40" s="31" t="s">
        <v>78</v>
      </c>
      <c r="C40" s="53" t="s">
        <v>73</v>
      </c>
      <c r="D40" s="54">
        <v>6.5</v>
      </c>
      <c r="E40" s="54">
        <v>8.9</v>
      </c>
      <c r="F40" s="54">
        <v>3.3</v>
      </c>
      <c r="G40" s="49">
        <v>0</v>
      </c>
      <c r="H40" s="50">
        <v>0</v>
      </c>
      <c r="I40" s="50"/>
      <c r="J40" s="50"/>
      <c r="K40" s="50"/>
      <c r="L40" s="50"/>
      <c r="M40" s="50"/>
      <c r="N40" s="50"/>
      <c r="O40" s="50"/>
      <c r="P40" s="50"/>
      <c r="Q40" s="50"/>
      <c r="R40" s="51">
        <f t="shared" si="8"/>
        <v>0</v>
      </c>
      <c r="S40" s="51">
        <f t="shared" si="9"/>
        <v>0</v>
      </c>
      <c r="T40" s="51">
        <f t="shared" si="10"/>
        <v>0</v>
      </c>
      <c r="U40" s="52">
        <f t="shared" si="10"/>
        <v>0</v>
      </c>
    </row>
    <row r="41" spans="1:21" s="27" customFormat="1" ht="15.6" hidden="1" outlineLevel="1" x14ac:dyDescent="0.25">
      <c r="A41" s="30"/>
      <c r="B41" s="31" t="s">
        <v>74</v>
      </c>
      <c r="C41" s="53" t="s">
        <v>73</v>
      </c>
      <c r="D41" s="54">
        <v>3.25</v>
      </c>
      <c r="E41" s="54">
        <v>0</v>
      </c>
      <c r="F41" s="54">
        <v>0</v>
      </c>
      <c r="G41" s="49">
        <f t="shared" ref="G41:G46" si="11">F41*0.95</f>
        <v>0</v>
      </c>
      <c r="H41" s="50">
        <v>0</v>
      </c>
      <c r="I41" s="50"/>
      <c r="J41" s="50"/>
      <c r="K41" s="50"/>
      <c r="L41" s="50"/>
      <c r="M41" s="50"/>
      <c r="N41" s="50"/>
      <c r="O41" s="50"/>
      <c r="P41" s="50"/>
      <c r="Q41" s="50"/>
      <c r="R41" s="51">
        <f t="shared" si="8"/>
        <v>0</v>
      </c>
      <c r="S41" s="51">
        <f t="shared" si="9"/>
        <v>0</v>
      </c>
      <c r="T41" s="51">
        <f t="shared" si="10"/>
        <v>0</v>
      </c>
      <c r="U41" s="52">
        <f t="shared" si="10"/>
        <v>0</v>
      </c>
    </row>
    <row r="42" spans="1:21" s="27" customFormat="1" ht="15.6" hidden="1" outlineLevel="1" x14ac:dyDescent="0.25">
      <c r="A42" s="30" t="s">
        <v>34</v>
      </c>
      <c r="B42" s="31" t="s">
        <v>79</v>
      </c>
      <c r="C42" s="53" t="s">
        <v>73</v>
      </c>
      <c r="D42" s="54">
        <v>26.61</v>
      </c>
      <c r="E42" s="54">
        <v>32.9</v>
      </c>
      <c r="F42" s="54">
        <v>10.9</v>
      </c>
      <c r="G42" s="49">
        <v>10.4</v>
      </c>
      <c r="H42" s="50">
        <v>0</v>
      </c>
      <c r="I42" s="50">
        <v>0</v>
      </c>
      <c r="J42" s="50"/>
      <c r="K42" s="50">
        <v>0</v>
      </c>
      <c r="L42" s="50"/>
      <c r="M42" s="50"/>
      <c r="N42" s="50">
        <v>0</v>
      </c>
      <c r="O42" s="50">
        <v>0</v>
      </c>
      <c r="P42" s="50">
        <v>0</v>
      </c>
      <c r="Q42" s="50">
        <v>0</v>
      </c>
      <c r="R42" s="51">
        <f t="shared" si="8"/>
        <v>0</v>
      </c>
      <c r="S42" s="51">
        <f t="shared" si="9"/>
        <v>0</v>
      </c>
      <c r="T42" s="51">
        <f t="shared" si="10"/>
        <v>0</v>
      </c>
      <c r="U42" s="52">
        <f t="shared" si="10"/>
        <v>0</v>
      </c>
    </row>
    <row r="43" spans="1:21" s="27" customFormat="1" ht="15.6" hidden="1" outlineLevel="1" x14ac:dyDescent="0.25">
      <c r="A43" s="30" t="s">
        <v>39</v>
      </c>
      <c r="B43" s="31" t="s">
        <v>80</v>
      </c>
      <c r="C43" s="53" t="s">
        <v>73</v>
      </c>
      <c r="D43" s="54">
        <v>26</v>
      </c>
      <c r="E43" s="54">
        <v>12.4</v>
      </c>
      <c r="F43" s="54">
        <v>0</v>
      </c>
      <c r="G43" s="49">
        <f t="shared" si="11"/>
        <v>0</v>
      </c>
      <c r="H43" s="50">
        <v>0</v>
      </c>
      <c r="I43" s="50">
        <v>0</v>
      </c>
      <c r="J43" s="50"/>
      <c r="K43" s="50">
        <v>0</v>
      </c>
      <c r="L43" s="50"/>
      <c r="M43" s="50"/>
      <c r="N43" s="50">
        <v>0</v>
      </c>
      <c r="O43" s="50">
        <v>0</v>
      </c>
      <c r="P43" s="50">
        <v>0</v>
      </c>
      <c r="Q43" s="50">
        <v>0</v>
      </c>
      <c r="R43" s="51">
        <f t="shared" si="8"/>
        <v>0</v>
      </c>
      <c r="S43" s="51">
        <f t="shared" si="9"/>
        <v>0</v>
      </c>
      <c r="T43" s="51">
        <f t="shared" si="10"/>
        <v>0</v>
      </c>
      <c r="U43" s="52">
        <f t="shared" si="10"/>
        <v>0</v>
      </c>
    </row>
    <row r="44" spans="1:21" s="27" customFormat="1" ht="15.6" hidden="1" outlineLevel="1" x14ac:dyDescent="0.25">
      <c r="A44" s="30" t="s">
        <v>43</v>
      </c>
      <c r="B44" s="31" t="s">
        <v>81</v>
      </c>
      <c r="C44" s="53"/>
      <c r="D44" s="54"/>
      <c r="E44" s="54"/>
      <c r="F44" s="54"/>
      <c r="G44" s="49">
        <f t="shared" si="11"/>
        <v>0</v>
      </c>
      <c r="H44" s="50">
        <v>0</v>
      </c>
      <c r="I44" s="50"/>
      <c r="J44" s="50"/>
      <c r="K44" s="50"/>
      <c r="L44" s="50"/>
      <c r="M44" s="50"/>
      <c r="N44" s="50"/>
      <c r="O44" s="50"/>
      <c r="P44" s="50"/>
      <c r="Q44" s="50"/>
      <c r="R44" s="51">
        <f t="shared" ref="R44:R46" si="12">S44*0.98</f>
        <v>0</v>
      </c>
      <c r="S44" s="51">
        <f>Q44*1.043</f>
        <v>0</v>
      </c>
      <c r="T44" s="51">
        <f t="shared" ref="T44:T46" si="13">U44*0.98</f>
        <v>0</v>
      </c>
      <c r="U44" s="52">
        <f>S44*1.043</f>
        <v>0</v>
      </c>
    </row>
    <row r="45" spans="1:21" s="27" customFormat="1" ht="15.6" hidden="1" outlineLevel="1" x14ac:dyDescent="0.25">
      <c r="A45" s="30"/>
      <c r="B45" s="31" t="s">
        <v>82</v>
      </c>
      <c r="C45" s="53" t="s">
        <v>73</v>
      </c>
      <c r="D45" s="54">
        <v>5.6</v>
      </c>
      <c r="E45" s="54">
        <v>2.4</v>
      </c>
      <c r="F45" s="54">
        <v>0</v>
      </c>
      <c r="G45" s="49">
        <f t="shared" si="11"/>
        <v>0</v>
      </c>
      <c r="H45" s="50">
        <v>0</v>
      </c>
      <c r="I45" s="50"/>
      <c r="J45" s="50"/>
      <c r="K45" s="50"/>
      <c r="L45" s="50"/>
      <c r="M45" s="50"/>
      <c r="N45" s="50"/>
      <c r="O45" s="50"/>
      <c r="P45" s="50"/>
      <c r="Q45" s="50"/>
      <c r="R45" s="51">
        <f t="shared" si="12"/>
        <v>0</v>
      </c>
      <c r="S45" s="51">
        <f>Q45*1.043</f>
        <v>0</v>
      </c>
      <c r="T45" s="51">
        <f t="shared" si="13"/>
        <v>0</v>
      </c>
      <c r="U45" s="52">
        <f>S45*1.043</f>
        <v>0</v>
      </c>
    </row>
    <row r="46" spans="1:21" s="27" customFormat="1" ht="15.6" hidden="1" outlineLevel="1" x14ac:dyDescent="0.25">
      <c r="A46" s="30"/>
      <c r="B46" s="31" t="s">
        <v>83</v>
      </c>
      <c r="C46" s="53" t="s">
        <v>76</v>
      </c>
      <c r="D46" s="55">
        <v>8.0000000000000002E-3</v>
      </c>
      <c r="E46" s="55">
        <v>2.3999999999999998E-3</v>
      </c>
      <c r="F46" s="55">
        <v>0</v>
      </c>
      <c r="G46" s="49">
        <f t="shared" si="11"/>
        <v>0</v>
      </c>
      <c r="H46" s="50">
        <v>0</v>
      </c>
      <c r="I46" s="50"/>
      <c r="J46" s="50"/>
      <c r="K46" s="50"/>
      <c r="L46" s="50"/>
      <c r="M46" s="50"/>
      <c r="N46" s="50"/>
      <c r="O46" s="50"/>
      <c r="P46" s="50"/>
      <c r="Q46" s="50"/>
      <c r="R46" s="51">
        <f t="shared" si="12"/>
        <v>0</v>
      </c>
      <c r="S46" s="51">
        <f>Q46*1.043</f>
        <v>0</v>
      </c>
      <c r="T46" s="51">
        <f t="shared" si="13"/>
        <v>0</v>
      </c>
      <c r="U46" s="52">
        <f>S46*1.043</f>
        <v>0</v>
      </c>
    </row>
    <row r="47" spans="1:21" s="27" customFormat="1" ht="15.6" collapsed="1" x14ac:dyDescent="0.25">
      <c r="A47" s="22" t="s">
        <v>51</v>
      </c>
      <c r="B47" s="29" t="s">
        <v>84</v>
      </c>
      <c r="C47" s="24" t="s">
        <v>31</v>
      </c>
      <c r="D47" s="33">
        <f t="shared" ref="D47:G47" si="14">D48+D52</f>
        <v>14062</v>
      </c>
      <c r="E47" s="33">
        <f t="shared" si="14"/>
        <v>11445.2</v>
      </c>
      <c r="F47" s="33">
        <f t="shared" si="14"/>
        <v>9483</v>
      </c>
      <c r="G47" s="28">
        <f t="shared" si="14"/>
        <v>10026.220000000001</v>
      </c>
      <c r="H47" s="33">
        <v>10507.478560000003</v>
      </c>
      <c r="I47" s="33">
        <f t="shared" ref="I47:O47" si="15">I48+I50+I51+I52</f>
        <v>10062</v>
      </c>
      <c r="J47" s="33">
        <f t="shared" si="15"/>
        <v>6119.5</v>
      </c>
      <c r="K47" s="33">
        <f t="shared" si="15"/>
        <v>6686.4369999999999</v>
      </c>
      <c r="L47" s="33">
        <f t="shared" si="15"/>
        <v>5879.45</v>
      </c>
      <c r="M47" s="33">
        <f t="shared" si="15"/>
        <v>0</v>
      </c>
      <c r="N47" s="33">
        <f t="shared" si="15"/>
        <v>0</v>
      </c>
      <c r="O47" s="33">
        <f t="shared" si="15"/>
        <v>0</v>
      </c>
      <c r="P47" s="33">
        <f>P48+P50+P51+P52</f>
        <v>2200</v>
      </c>
      <c r="Q47" s="33">
        <f t="shared" ref="Q47:U47" si="16">Q48+Q50+Q51+Q52</f>
        <v>2651</v>
      </c>
      <c r="R47" s="33">
        <f t="shared" si="16"/>
        <v>2200</v>
      </c>
      <c r="S47" s="33">
        <f t="shared" si="16"/>
        <v>2676.6219999999998</v>
      </c>
      <c r="T47" s="33">
        <f t="shared" si="16"/>
        <v>2200</v>
      </c>
      <c r="U47" s="46">
        <f t="shared" si="16"/>
        <v>2726.6462219999994</v>
      </c>
    </row>
    <row r="48" spans="1:21" s="27" customFormat="1" ht="15.6" x14ac:dyDescent="0.25">
      <c r="A48" s="30"/>
      <c r="B48" s="31" t="s">
        <v>85</v>
      </c>
      <c r="C48" s="53" t="s">
        <v>31</v>
      </c>
      <c r="D48" s="54">
        <f>D49+D50+D51</f>
        <v>7873.48</v>
      </c>
      <c r="E48" s="54">
        <v>3765.2</v>
      </c>
      <c r="F48" s="54">
        <v>1350</v>
      </c>
      <c r="G48" s="42">
        <f t="shared" ref="G48:H48" si="17">G49+G51</f>
        <v>1079.92</v>
      </c>
      <c r="H48" s="54">
        <f t="shared" si="17"/>
        <v>1131.7561600000001</v>
      </c>
      <c r="I48" s="54">
        <f>I39*350</f>
        <v>1050</v>
      </c>
      <c r="J48" s="54">
        <f>J36*350</f>
        <v>1403.5</v>
      </c>
      <c r="K48" s="54">
        <f>K36*350</f>
        <v>1085</v>
      </c>
      <c r="L48" s="54">
        <f>L36*390</f>
        <v>975</v>
      </c>
      <c r="M48" s="54">
        <v>0</v>
      </c>
      <c r="N48" s="54">
        <v>0</v>
      </c>
      <c r="O48" s="54">
        <v>0</v>
      </c>
      <c r="P48" s="54">
        <v>0</v>
      </c>
      <c r="Q48" s="54">
        <v>429</v>
      </c>
      <c r="R48" s="54">
        <v>0</v>
      </c>
      <c r="S48" s="54">
        <v>452.4</v>
      </c>
      <c r="T48" s="54">
        <f>R48*1.05</f>
        <v>0</v>
      </c>
      <c r="U48" s="56">
        <v>500.2</v>
      </c>
    </row>
    <row r="49" spans="1:22" s="27" customFormat="1" ht="15.6" hidden="1" outlineLevel="1" x14ac:dyDescent="0.25">
      <c r="A49" s="30"/>
      <c r="B49" s="31" t="s">
        <v>82</v>
      </c>
      <c r="C49" s="53" t="s">
        <v>31</v>
      </c>
      <c r="D49" s="54">
        <v>7751.24</v>
      </c>
      <c r="E49" s="54">
        <v>3758.3</v>
      </c>
      <c r="F49" s="54">
        <v>1346.7</v>
      </c>
      <c r="G49" s="42">
        <f>F49*0.8</f>
        <v>1077.3600000000001</v>
      </c>
      <c r="H49" s="54">
        <v>1129.0732800000001</v>
      </c>
      <c r="I49" s="54">
        <v>0</v>
      </c>
      <c r="J49" s="54"/>
      <c r="K49" s="54">
        <v>0</v>
      </c>
      <c r="L49" s="54"/>
      <c r="M49" s="54"/>
      <c r="N49" s="54">
        <v>0</v>
      </c>
      <c r="O49" s="54">
        <v>0</v>
      </c>
      <c r="P49" s="54">
        <v>0</v>
      </c>
      <c r="Q49" s="54">
        <f>Q36*0.35</f>
        <v>0.38500000000000001</v>
      </c>
      <c r="R49" s="54">
        <f t="shared" ref="R49:R51" si="18">P49*1.015</f>
        <v>0</v>
      </c>
      <c r="S49" s="104">
        <f>Q49*1.03</f>
        <v>0.39655000000000001</v>
      </c>
      <c r="T49" s="104">
        <f t="shared" ref="T49:U51" si="19">R49*1.017</f>
        <v>0</v>
      </c>
      <c r="U49" s="105">
        <f>S49*1.04</f>
        <v>0.412412</v>
      </c>
    </row>
    <row r="50" spans="1:22" s="27" customFormat="1" ht="15.6" hidden="1" outlineLevel="1" x14ac:dyDescent="0.25">
      <c r="A50" s="30"/>
      <c r="B50" s="31" t="s">
        <v>74</v>
      </c>
      <c r="C50" s="53" t="s">
        <v>31</v>
      </c>
      <c r="D50" s="54">
        <v>92.63</v>
      </c>
      <c r="E50" s="54">
        <v>0</v>
      </c>
      <c r="F50" s="54">
        <v>0</v>
      </c>
      <c r="G50" s="42">
        <f>F50*0.95</f>
        <v>0</v>
      </c>
      <c r="H50" s="54">
        <v>0</v>
      </c>
      <c r="I50" s="54">
        <v>0</v>
      </c>
      <c r="J50" s="54"/>
      <c r="K50" s="54">
        <v>0</v>
      </c>
      <c r="L50" s="54"/>
      <c r="M50" s="54"/>
      <c r="N50" s="54">
        <v>0</v>
      </c>
      <c r="O50" s="54">
        <v>0</v>
      </c>
      <c r="P50" s="54">
        <v>0</v>
      </c>
      <c r="Q50" s="54">
        <v>0</v>
      </c>
      <c r="R50" s="54">
        <f t="shared" si="18"/>
        <v>0</v>
      </c>
      <c r="S50" s="54">
        <f t="shared" ref="S50:S51" si="20">Q50*1.02</f>
        <v>0</v>
      </c>
      <c r="T50" s="54">
        <f t="shared" si="19"/>
        <v>0</v>
      </c>
      <c r="U50" s="56">
        <f t="shared" si="19"/>
        <v>0</v>
      </c>
    </row>
    <row r="51" spans="1:22" s="27" customFormat="1" ht="15.6" hidden="1" outlineLevel="1" x14ac:dyDescent="0.25">
      <c r="A51" s="30"/>
      <c r="B51" s="31" t="s">
        <v>83</v>
      </c>
      <c r="C51" s="53" t="s">
        <v>31</v>
      </c>
      <c r="D51" s="54">
        <v>29.61</v>
      </c>
      <c r="E51" s="54">
        <v>6.9</v>
      </c>
      <c r="F51" s="54">
        <v>3.2</v>
      </c>
      <c r="G51" s="42">
        <f>F51*0.8</f>
        <v>2.5600000000000005</v>
      </c>
      <c r="H51" s="54">
        <v>2.6828800000000008</v>
      </c>
      <c r="I51" s="54">
        <v>0</v>
      </c>
      <c r="J51" s="54"/>
      <c r="K51" s="54">
        <v>0</v>
      </c>
      <c r="L51" s="54"/>
      <c r="M51" s="54"/>
      <c r="N51" s="54">
        <v>0</v>
      </c>
      <c r="O51" s="54">
        <v>0</v>
      </c>
      <c r="P51" s="54">
        <v>0</v>
      </c>
      <c r="Q51" s="54">
        <v>0</v>
      </c>
      <c r="R51" s="54">
        <f t="shared" si="18"/>
        <v>0</v>
      </c>
      <c r="S51" s="54">
        <f t="shared" si="20"/>
        <v>0</v>
      </c>
      <c r="T51" s="54">
        <f t="shared" si="19"/>
        <v>0</v>
      </c>
      <c r="U51" s="56">
        <f t="shared" si="19"/>
        <v>0</v>
      </c>
    </row>
    <row r="52" spans="1:22" s="27" customFormat="1" ht="15.6" collapsed="1" x14ac:dyDescent="0.25">
      <c r="A52" s="30"/>
      <c r="B52" s="31" t="s">
        <v>86</v>
      </c>
      <c r="C52" s="53" t="s">
        <v>31</v>
      </c>
      <c r="D52" s="54">
        <v>6188.52</v>
      </c>
      <c r="E52" s="54">
        <v>7680</v>
      </c>
      <c r="F52" s="54">
        <v>8133</v>
      </c>
      <c r="G52" s="42">
        <f>F52*1.1</f>
        <v>8946.3000000000011</v>
      </c>
      <c r="H52" s="57">
        <v>9375.7224000000024</v>
      </c>
      <c r="I52" s="57">
        <f>I28*40</f>
        <v>9012</v>
      </c>
      <c r="J52" s="57">
        <v>4716</v>
      </c>
      <c r="K52" s="54">
        <v>5601.4369999999999</v>
      </c>
      <c r="L52" s="54">
        <v>4904.45</v>
      </c>
      <c r="M52" s="54">
        <v>0</v>
      </c>
      <c r="N52" s="54">
        <v>0</v>
      </c>
      <c r="O52" s="54">
        <v>0</v>
      </c>
      <c r="P52" s="57">
        <v>2200</v>
      </c>
      <c r="Q52" s="54">
        <f>P52*1.01</f>
        <v>2222</v>
      </c>
      <c r="R52" s="54">
        <v>2200</v>
      </c>
      <c r="S52" s="54">
        <f>Q52*1.001</f>
        <v>2224.2219999999998</v>
      </c>
      <c r="T52" s="54">
        <f>R52</f>
        <v>2200</v>
      </c>
      <c r="U52" s="56">
        <f>S52*1.001</f>
        <v>2226.4462219999996</v>
      </c>
    </row>
    <row r="53" spans="1:22" s="27" customFormat="1" ht="15.6" x14ac:dyDescent="0.25">
      <c r="A53" s="47" t="s">
        <v>87</v>
      </c>
      <c r="B53" s="58" t="s">
        <v>88</v>
      </c>
      <c r="C53" s="24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60"/>
      <c r="O53" s="60"/>
      <c r="P53" s="60"/>
      <c r="Q53" s="60"/>
      <c r="R53" s="60"/>
      <c r="S53" s="60"/>
      <c r="T53" s="60"/>
      <c r="U53" s="106"/>
    </row>
    <row r="54" spans="1:22" s="27" customFormat="1" ht="15.6" x14ac:dyDescent="0.25">
      <c r="A54" s="22" t="s">
        <v>29</v>
      </c>
      <c r="B54" s="62" t="s">
        <v>89</v>
      </c>
      <c r="C54" s="24" t="s">
        <v>90</v>
      </c>
      <c r="D54" s="49">
        <f>4.9*1.0014</f>
        <v>4.9068600000000009</v>
      </c>
      <c r="E54" s="49">
        <v>4.2729999999999997</v>
      </c>
      <c r="F54" s="49">
        <v>4.2880000000000003</v>
      </c>
      <c r="G54" s="49">
        <v>4.1239999999999997</v>
      </c>
      <c r="H54" s="49">
        <v>3.5590000000000002</v>
      </c>
      <c r="I54" s="49">
        <v>3.5830000000000002</v>
      </c>
      <c r="J54" s="49">
        <v>3.548</v>
      </c>
      <c r="K54" s="49">
        <v>3.4809999999999999</v>
      </c>
      <c r="L54" s="49">
        <v>3.548</v>
      </c>
      <c r="M54" s="49">
        <v>3.5339999999999998</v>
      </c>
      <c r="N54" s="49">
        <v>3.3330000000000002</v>
      </c>
      <c r="O54" s="49">
        <v>3.4340000000000002</v>
      </c>
      <c r="P54" s="49">
        <f>O54*100%</f>
        <v>3.4340000000000002</v>
      </c>
      <c r="Q54" s="49">
        <f>O54*99%</f>
        <v>3.3996600000000003</v>
      </c>
      <c r="R54" s="49">
        <f>P54*100.3%</f>
        <v>3.444302</v>
      </c>
      <c r="S54" s="49">
        <f>Q54*100%</f>
        <v>3.3996600000000003</v>
      </c>
      <c r="T54" s="49">
        <f>R54*100.3%</f>
        <v>3.4546349059999995</v>
      </c>
      <c r="U54" s="64">
        <f>S54*100.2%</f>
        <v>3.4064593200000002</v>
      </c>
    </row>
    <row r="55" spans="1:22" s="27" customFormat="1" ht="15.6" x14ac:dyDescent="0.25">
      <c r="A55" s="22" t="s">
        <v>51</v>
      </c>
      <c r="B55" s="62" t="s">
        <v>91</v>
      </c>
      <c r="C55" s="24" t="s">
        <v>90</v>
      </c>
      <c r="D55" s="49"/>
      <c r="E55" s="49"/>
      <c r="F55" s="49"/>
      <c r="G55" s="49">
        <v>0.215</v>
      </c>
      <c r="H55" s="49">
        <v>0.185</v>
      </c>
      <c r="I55" s="49">
        <v>0.14399999999999999</v>
      </c>
      <c r="J55" s="49">
        <v>0.20799999999999999</v>
      </c>
      <c r="K55" s="49">
        <v>0.20799999999999999</v>
      </c>
      <c r="L55" s="49">
        <v>0.26400000000000001</v>
      </c>
      <c r="M55" s="49">
        <v>0.26400000000000001</v>
      </c>
      <c r="N55" s="49">
        <v>0.20799999999999999</v>
      </c>
      <c r="O55" s="49">
        <v>0.245</v>
      </c>
      <c r="P55" s="49">
        <v>0.20499999999999999</v>
      </c>
      <c r="Q55" s="49">
        <v>0.215</v>
      </c>
      <c r="R55" s="49">
        <f t="shared" ref="R55:U56" si="21">P55*100.8%</f>
        <v>0.20663999999999999</v>
      </c>
      <c r="S55" s="49">
        <f t="shared" si="21"/>
        <v>0.21672</v>
      </c>
      <c r="T55" s="49">
        <f t="shared" si="21"/>
        <v>0.20829312</v>
      </c>
      <c r="U55" s="64">
        <f t="shared" si="21"/>
        <v>0.21845376</v>
      </c>
    </row>
    <row r="56" spans="1:22" s="27" customFormat="1" ht="15.6" x14ac:dyDescent="0.25">
      <c r="A56" s="22" t="s">
        <v>58</v>
      </c>
      <c r="B56" s="62" t="s">
        <v>92</v>
      </c>
      <c r="C56" s="24" t="s">
        <v>90</v>
      </c>
      <c r="D56" s="49"/>
      <c r="E56" s="49"/>
      <c r="F56" s="49"/>
      <c r="G56" s="49">
        <v>0.123</v>
      </c>
      <c r="H56" s="49">
        <v>0.27200000000000002</v>
      </c>
      <c r="I56" s="49">
        <v>0.20499999999999999</v>
      </c>
      <c r="J56" s="49">
        <v>0.27600000000000002</v>
      </c>
      <c r="K56" s="49">
        <v>0.26400000000000001</v>
      </c>
      <c r="L56" s="49">
        <v>0.20699999999999999</v>
      </c>
      <c r="M56" s="49">
        <v>0.20699999999999999</v>
      </c>
      <c r="N56" s="49">
        <v>0.19500000000000001</v>
      </c>
      <c r="O56" s="49">
        <v>0.189</v>
      </c>
      <c r="P56" s="49">
        <f>O56*100.5%</f>
        <v>0.18994499999999997</v>
      </c>
      <c r="Q56" s="49">
        <f>O56*100.5%</f>
        <v>0.18994499999999997</v>
      </c>
      <c r="R56" s="49">
        <f t="shared" si="21"/>
        <v>0.19146455999999998</v>
      </c>
      <c r="S56" s="49">
        <f t="shared" si="21"/>
        <v>0.19146455999999998</v>
      </c>
      <c r="T56" s="49">
        <f t="shared" si="21"/>
        <v>0.19299627647999998</v>
      </c>
      <c r="U56" s="64">
        <f t="shared" si="21"/>
        <v>0.19299627647999998</v>
      </c>
      <c r="V56" s="27">
        <v>0.16</v>
      </c>
    </row>
    <row r="57" spans="1:22" s="27" customFormat="1" ht="15.6" x14ac:dyDescent="0.25">
      <c r="A57" s="22" t="s">
        <v>61</v>
      </c>
      <c r="B57" s="62" t="s">
        <v>93</v>
      </c>
      <c r="C57" s="24" t="s">
        <v>90</v>
      </c>
      <c r="D57" s="49"/>
      <c r="E57" s="49"/>
      <c r="F57" s="49"/>
      <c r="G57" s="49">
        <v>9.1999999999999998E-2</v>
      </c>
      <c r="H57" s="49">
        <v>-8.6999999999999994E-2</v>
      </c>
      <c r="I57" s="49">
        <v>-6.0999999999999999E-2</v>
      </c>
      <c r="J57" s="49">
        <v>-6.8000000000000005E-2</v>
      </c>
      <c r="K57" s="49">
        <v>-6.7000000000000004E-2</v>
      </c>
      <c r="L57" s="49">
        <f>L55-L56</f>
        <v>5.7000000000000023E-2</v>
      </c>
      <c r="M57" s="49">
        <v>5.7000000000000023E-2</v>
      </c>
      <c r="N57" s="65">
        <f>N55-N56</f>
        <v>1.2999999999999984E-2</v>
      </c>
      <c r="O57" s="65">
        <f>O55-O56</f>
        <v>5.5999999999999994E-2</v>
      </c>
      <c r="P57" s="49">
        <f>P55-P56</f>
        <v>1.5055000000000013E-2</v>
      </c>
      <c r="Q57" s="49">
        <f t="shared" ref="Q57:U57" si="22">Q55-Q56</f>
        <v>2.5055000000000022E-2</v>
      </c>
      <c r="R57" s="49">
        <f t="shared" si="22"/>
        <v>1.5175440000000012E-2</v>
      </c>
      <c r="S57" s="49">
        <f t="shared" si="22"/>
        <v>2.5255440000000018E-2</v>
      </c>
      <c r="T57" s="49">
        <f t="shared" si="22"/>
        <v>1.529684352000002E-2</v>
      </c>
      <c r="U57" s="64">
        <f t="shared" si="22"/>
        <v>2.5457483520000018E-2</v>
      </c>
    </row>
    <row r="58" spans="1:22" s="27" customFormat="1" ht="15.6" x14ac:dyDescent="0.25">
      <c r="A58" s="22" t="s">
        <v>63</v>
      </c>
      <c r="B58" s="62" t="s">
        <v>94</v>
      </c>
      <c r="C58" s="24" t="s">
        <v>90</v>
      </c>
      <c r="D58" s="49"/>
      <c r="E58" s="49"/>
      <c r="F58" s="49"/>
      <c r="G58" s="49">
        <v>0.02</v>
      </c>
      <c r="H58" s="49">
        <v>0.02</v>
      </c>
      <c r="I58" s="49">
        <v>3.4000000000000002E-2</v>
      </c>
      <c r="J58" s="49">
        <v>3.3000000000000002E-2</v>
      </c>
      <c r="K58" s="49">
        <v>1.0999999999999999E-2</v>
      </c>
      <c r="L58" s="49">
        <v>8.9999999999999993E-3</v>
      </c>
      <c r="M58" s="49">
        <v>1.7000000000000001E-2</v>
      </c>
      <c r="N58" s="65">
        <v>-3.0000000000000001E-3</v>
      </c>
      <c r="O58" s="65">
        <v>4.0000000000000001E-3</v>
      </c>
      <c r="P58" s="65">
        <v>1.2999999999999999E-2</v>
      </c>
      <c r="Q58" s="65">
        <v>1.4999999999999999E-2</v>
      </c>
      <c r="R58" s="65">
        <v>1.4E-2</v>
      </c>
      <c r="S58" s="65">
        <v>1.6E-2</v>
      </c>
      <c r="T58" s="65">
        <v>1.4999999999999999E-2</v>
      </c>
      <c r="U58" s="66">
        <v>1.7999999999999999E-2</v>
      </c>
    </row>
    <row r="59" spans="1:22" s="27" customFormat="1" ht="15.6" x14ac:dyDescent="0.25">
      <c r="A59" s="47" t="s">
        <v>95</v>
      </c>
      <c r="B59" s="58" t="s">
        <v>96</v>
      </c>
      <c r="C59" s="24"/>
      <c r="D59" s="59">
        <f t="shared" ref="D59:F59" si="23">D60+D61</f>
        <v>3.3200000000000003</v>
      </c>
      <c r="E59" s="59">
        <f t="shared" si="23"/>
        <v>3.3140000000000001</v>
      </c>
      <c r="F59" s="59">
        <f t="shared" si="23"/>
        <v>3.319</v>
      </c>
      <c r="G59" s="59"/>
      <c r="H59" s="59"/>
      <c r="I59" s="59"/>
      <c r="J59" s="59"/>
      <c r="K59" s="59"/>
      <c r="L59" s="59"/>
      <c r="M59" s="59"/>
      <c r="N59" s="59"/>
      <c r="O59" s="60"/>
      <c r="P59" s="60"/>
      <c r="Q59" s="60"/>
      <c r="R59" s="107"/>
      <c r="S59" s="107"/>
      <c r="T59" s="107"/>
      <c r="U59" s="108"/>
    </row>
    <row r="60" spans="1:22" s="27" customFormat="1" ht="15.6" x14ac:dyDescent="0.25">
      <c r="A60" s="22" t="s">
        <v>29</v>
      </c>
      <c r="B60" s="62" t="s">
        <v>97</v>
      </c>
      <c r="C60" s="24" t="s">
        <v>90</v>
      </c>
      <c r="D60" s="49">
        <v>3.2440000000000002</v>
      </c>
      <c r="E60" s="49">
        <v>3.2690000000000001</v>
      </c>
      <c r="F60" s="49">
        <v>3.274</v>
      </c>
      <c r="G60" s="49">
        <v>3.1869999999999998</v>
      </c>
      <c r="H60" s="49">
        <v>3.274</v>
      </c>
      <c r="I60" s="49">
        <v>3.1269999999999998</v>
      </c>
      <c r="J60" s="65">
        <v>2.21</v>
      </c>
      <c r="K60" s="65">
        <v>2.2629999999999999</v>
      </c>
      <c r="L60" s="65">
        <v>1.7869999999999999</v>
      </c>
      <c r="M60" s="65">
        <v>1.7430000000000001</v>
      </c>
      <c r="N60" s="65">
        <v>1.9870000000000001</v>
      </c>
      <c r="O60" s="65">
        <v>1.9019999999999999</v>
      </c>
      <c r="P60" s="65">
        <f>O60*1.005</f>
        <v>1.9115099999999998</v>
      </c>
      <c r="Q60" s="65">
        <v>1.915</v>
      </c>
      <c r="R60" s="65">
        <f>P60*1.003</f>
        <v>1.9172445299999996</v>
      </c>
      <c r="S60" s="65">
        <f>Q60*1.01</f>
        <v>1.93415</v>
      </c>
      <c r="T60" s="65">
        <f>R60*1.005</f>
        <v>1.9268307526499995</v>
      </c>
      <c r="U60" s="66">
        <f>S60*1.001</f>
        <v>1.9360841499999999</v>
      </c>
    </row>
    <row r="61" spans="1:22" s="27" customFormat="1" ht="31.2" x14ac:dyDescent="0.25">
      <c r="A61" s="22" t="s">
        <v>51</v>
      </c>
      <c r="B61" s="62" t="s">
        <v>98</v>
      </c>
      <c r="C61" s="24" t="s">
        <v>90</v>
      </c>
      <c r="D61" s="49">
        <v>7.5999999999999998E-2</v>
      </c>
      <c r="E61" s="49">
        <v>4.4999999999999998E-2</v>
      </c>
      <c r="F61" s="49">
        <v>4.4999999999999998E-2</v>
      </c>
      <c r="G61" s="49">
        <v>2.5999999999999999E-2</v>
      </c>
      <c r="H61" s="49">
        <v>0.03</v>
      </c>
      <c r="I61" s="49">
        <v>2.5999999999999999E-2</v>
      </c>
      <c r="J61" s="49">
        <v>2.3E-2</v>
      </c>
      <c r="K61" s="49">
        <v>1.7999999999999999E-2</v>
      </c>
      <c r="L61" s="49">
        <v>7.3999999999999996E-2</v>
      </c>
      <c r="M61" s="49">
        <v>2.3E-2</v>
      </c>
      <c r="N61" s="65">
        <v>2.3E-2</v>
      </c>
      <c r="O61" s="65">
        <v>1.9E-2</v>
      </c>
      <c r="P61" s="65">
        <v>2.8000000000000001E-2</v>
      </c>
      <c r="Q61" s="65">
        <f>O61*104.6%</f>
        <v>1.9873999999999999E-2</v>
      </c>
      <c r="R61" s="65">
        <f>P61*1.003</f>
        <v>2.8083999999999998E-2</v>
      </c>
      <c r="S61" s="65">
        <f>Q61*1</f>
        <v>1.9873999999999999E-2</v>
      </c>
      <c r="T61" s="65">
        <f>R61*1.005</f>
        <v>2.8224419999999993E-2</v>
      </c>
      <c r="U61" s="66">
        <f>S61*1.001</f>
        <v>1.9893873999999995E-2</v>
      </c>
    </row>
    <row r="62" spans="1:22" s="27" customFormat="1" ht="15.6" x14ac:dyDescent="0.25">
      <c r="A62" s="22" t="s">
        <v>58</v>
      </c>
      <c r="B62" s="62" t="s">
        <v>99</v>
      </c>
      <c r="C62" s="24" t="s">
        <v>100</v>
      </c>
      <c r="D62" s="49"/>
      <c r="E62" s="49"/>
      <c r="F62" s="49"/>
      <c r="G62" s="49">
        <v>1440.23</v>
      </c>
      <c r="H62" s="49">
        <v>1495.85</v>
      </c>
      <c r="I62" s="49">
        <v>1741.2260000000001</v>
      </c>
      <c r="J62" s="49">
        <v>2002.41</v>
      </c>
      <c r="K62" s="49">
        <v>2031.431</v>
      </c>
      <c r="L62" s="65">
        <v>1950.0329999999999</v>
      </c>
      <c r="M62" s="65">
        <v>2109.1550000000002</v>
      </c>
      <c r="N62" s="65">
        <f>2193.521/12*12</f>
        <v>2193.5210000000002</v>
      </c>
      <c r="O62" s="65">
        <v>2331.7739999999999</v>
      </c>
      <c r="P62" s="65">
        <f>N62*103%</f>
        <v>2259.32663</v>
      </c>
      <c r="Q62" s="65">
        <f>O62*103%</f>
        <v>2401.7272199999998</v>
      </c>
      <c r="R62" s="65">
        <f>P62*103.3%</f>
        <v>2333.8844087899997</v>
      </c>
      <c r="S62" s="65">
        <f>Q62*103.7%</f>
        <v>2490.5911271399996</v>
      </c>
      <c r="T62" s="65">
        <f>R62*103.7%</f>
        <v>2420.2381319152296</v>
      </c>
      <c r="U62" s="66">
        <f>S62*102%</f>
        <v>2540.4029496827998</v>
      </c>
    </row>
    <row r="63" spans="1:22" s="27" customFormat="1" ht="15.6" x14ac:dyDescent="0.25">
      <c r="A63" s="22" t="s">
        <v>61</v>
      </c>
      <c r="B63" s="62" t="s">
        <v>101</v>
      </c>
      <c r="C63" s="24" t="s">
        <v>100</v>
      </c>
      <c r="D63" s="49"/>
      <c r="E63" s="49"/>
      <c r="F63" s="49"/>
      <c r="G63" s="49"/>
      <c r="H63" s="49"/>
      <c r="I63" s="49"/>
      <c r="J63" s="49">
        <v>1413.8340000000001</v>
      </c>
      <c r="K63" s="49">
        <v>1500.8579999999999</v>
      </c>
      <c r="L63" s="49">
        <v>1233.2329999999999</v>
      </c>
      <c r="M63" s="49">
        <v>1331.8920000000001</v>
      </c>
      <c r="N63" s="49">
        <v>1531.6759999999999</v>
      </c>
      <c r="O63" s="49">
        <v>1638.893</v>
      </c>
      <c r="P63" s="65">
        <f>O63*102.3%</f>
        <v>1676.5875389999999</v>
      </c>
      <c r="Q63" s="65">
        <f>O63*103%</f>
        <v>1688.05979</v>
      </c>
      <c r="R63" s="65">
        <f>P63*102.3%</f>
        <v>1715.1490523969997</v>
      </c>
      <c r="S63" s="65">
        <f>Q63*103.7%</f>
        <v>1750.5180022299999</v>
      </c>
      <c r="T63" s="65">
        <f>R63*102.5%</f>
        <v>1758.0277787069244</v>
      </c>
      <c r="U63" s="66">
        <f>S63*102%</f>
        <v>1785.5283622745999</v>
      </c>
    </row>
    <row r="64" spans="1:22" s="27" customFormat="1" ht="15.6" x14ac:dyDescent="0.25">
      <c r="A64" s="22" t="s">
        <v>63</v>
      </c>
      <c r="B64" s="62" t="s">
        <v>102</v>
      </c>
      <c r="C64" s="24" t="s">
        <v>103</v>
      </c>
      <c r="D64" s="49"/>
      <c r="E64" s="49"/>
      <c r="F64" s="49"/>
      <c r="G64" s="49">
        <v>37.658999999999999</v>
      </c>
      <c r="H64" s="49">
        <v>38.073999999999998</v>
      </c>
      <c r="I64" s="49">
        <v>46.402999999999999</v>
      </c>
      <c r="J64" s="49">
        <v>53.311999999999998</v>
      </c>
      <c r="K64" s="49">
        <f>K63/K60/12</f>
        <v>55.268007070260715</v>
      </c>
      <c r="L64" s="49">
        <v>57.526000000000003</v>
      </c>
      <c r="M64" s="49">
        <v>62.499000000000002</v>
      </c>
      <c r="N64" s="65">
        <v>63.915999999999997</v>
      </c>
      <c r="O64" s="65">
        <f>O63/O60/12</f>
        <v>71.805686996144416</v>
      </c>
      <c r="P64" s="65">
        <f>P63/P60/12</f>
        <v>73.091759002045507</v>
      </c>
      <c r="Q64" s="65">
        <f>Q63/Q60/12</f>
        <v>73.457780243690166</v>
      </c>
      <c r="R64" s="65">
        <f t="shared" ref="R64:U64" si="24">R63/R60/12</f>
        <v>74.549221793711425</v>
      </c>
      <c r="S64" s="65">
        <f t="shared" si="24"/>
        <v>75.42150308188782</v>
      </c>
      <c r="T64" s="65">
        <f t="shared" si="24"/>
        <v>76.032788396571348</v>
      </c>
      <c r="U64" s="66">
        <f t="shared" si="24"/>
        <v>76.853080063462116</v>
      </c>
    </row>
    <row r="65" spans="1:21" s="27" customFormat="1" ht="15.6" x14ac:dyDescent="0.25">
      <c r="A65" s="47" t="s">
        <v>104</v>
      </c>
      <c r="B65" s="69" t="s">
        <v>105</v>
      </c>
      <c r="C65" s="70"/>
      <c r="D65" s="49"/>
      <c r="E65" s="49"/>
      <c r="F65" s="49"/>
      <c r="G65" s="49"/>
      <c r="H65" s="49"/>
      <c r="I65" s="49"/>
      <c r="J65" s="49">
        <v>53.311999999999998</v>
      </c>
      <c r="K65" s="49">
        <v>55.268000000000001</v>
      </c>
      <c r="L65" s="49"/>
      <c r="M65" s="49"/>
      <c r="N65" s="71"/>
      <c r="O65" s="71"/>
      <c r="P65" s="71"/>
      <c r="Q65" s="71"/>
      <c r="R65" s="71"/>
      <c r="S65" s="71"/>
      <c r="T65" s="71"/>
      <c r="U65" s="109"/>
    </row>
    <row r="66" spans="1:21" s="27" customFormat="1" ht="15.6" x14ac:dyDescent="0.25">
      <c r="A66" s="78" t="s">
        <v>29</v>
      </c>
      <c r="B66" s="31" t="s">
        <v>106</v>
      </c>
      <c r="C66" s="80" t="s">
        <v>107</v>
      </c>
      <c r="D66" s="49"/>
      <c r="E66" s="49"/>
      <c r="F66" s="49"/>
      <c r="G66" s="49"/>
      <c r="H66" s="49"/>
      <c r="I66" s="49">
        <f>I67+I75</f>
        <v>130.608</v>
      </c>
      <c r="J66" s="49">
        <f t="shared" ref="J66:U66" si="25">J67+J75</f>
        <v>128.39699999999999</v>
      </c>
      <c r="K66" s="65">
        <f t="shared" si="25"/>
        <v>119.50700000000001</v>
      </c>
      <c r="L66" s="65">
        <f t="shared" si="25"/>
        <v>130.50700000000001</v>
      </c>
      <c r="M66" s="110">
        <f t="shared" si="25"/>
        <v>119.31</v>
      </c>
      <c r="N66" s="65">
        <f t="shared" si="25"/>
        <v>136.86599999999999</v>
      </c>
      <c r="O66" s="111">
        <f t="shared" si="25"/>
        <v>131.58500000000001</v>
      </c>
      <c r="P66" s="111">
        <f t="shared" si="25"/>
        <v>75.500999999999991</v>
      </c>
      <c r="Q66" s="111">
        <f t="shared" si="25"/>
        <v>76.256</v>
      </c>
      <c r="R66" s="111">
        <f t="shared" si="25"/>
        <v>77.018169999999998</v>
      </c>
      <c r="S66" s="111">
        <f t="shared" si="25"/>
        <v>77.78843169999999</v>
      </c>
      <c r="T66" s="111">
        <f t="shared" si="25"/>
        <v>77.78843169999999</v>
      </c>
      <c r="U66" s="112">
        <f t="shared" si="25"/>
        <v>79.344200334000007</v>
      </c>
    </row>
    <row r="67" spans="1:21" s="27" customFormat="1" ht="15.6" x14ac:dyDescent="0.25">
      <c r="A67" s="78" t="s">
        <v>32</v>
      </c>
      <c r="B67" s="79" t="s">
        <v>108</v>
      </c>
      <c r="C67" s="80" t="s">
        <v>107</v>
      </c>
      <c r="D67" s="49"/>
      <c r="E67" s="49"/>
      <c r="F67" s="49"/>
      <c r="G67" s="49"/>
      <c r="H67" s="49"/>
      <c r="I67" s="49">
        <f>I68+I74</f>
        <v>39.332999999999998</v>
      </c>
      <c r="J67" s="49">
        <f t="shared" ref="J67:U67" si="26">J68+J74</f>
        <v>42.494</v>
      </c>
      <c r="K67" s="65">
        <f t="shared" si="26"/>
        <v>44.304000000000002</v>
      </c>
      <c r="L67" s="65">
        <f t="shared" si="26"/>
        <v>40.704999999999998</v>
      </c>
      <c r="M67" s="65">
        <f t="shared" si="26"/>
        <v>46.585999999999999</v>
      </c>
      <c r="N67" s="65">
        <f t="shared" si="26"/>
        <v>44.086999999999989</v>
      </c>
      <c r="O67" s="111">
        <f t="shared" si="26"/>
        <v>33.866999999999997</v>
      </c>
      <c r="P67" s="111">
        <f t="shared" si="26"/>
        <v>34.366999999999997</v>
      </c>
      <c r="Q67" s="111">
        <f t="shared" si="26"/>
        <v>36.539000000000001</v>
      </c>
      <c r="R67" s="111">
        <f t="shared" si="26"/>
        <v>36.904000000000003</v>
      </c>
      <c r="S67" s="111">
        <f t="shared" si="26"/>
        <v>37.273119999999999</v>
      </c>
      <c r="T67" s="111">
        <f t="shared" si="26"/>
        <v>37.273119999999999</v>
      </c>
      <c r="U67" s="112">
        <f t="shared" si="26"/>
        <v>38.0185824</v>
      </c>
    </row>
    <row r="68" spans="1:21" s="27" customFormat="1" ht="15.6" x14ac:dyDescent="0.25">
      <c r="A68" s="78" t="s">
        <v>109</v>
      </c>
      <c r="B68" s="31" t="s">
        <v>110</v>
      </c>
      <c r="C68" s="80" t="s">
        <v>107</v>
      </c>
      <c r="D68" s="49"/>
      <c r="E68" s="49"/>
      <c r="F68" s="49"/>
      <c r="G68" s="49"/>
      <c r="H68" s="49"/>
      <c r="I68" s="49">
        <f>SUM(I69:I73)</f>
        <v>30.017999999999997</v>
      </c>
      <c r="J68" s="49">
        <f t="shared" ref="J68:U68" si="27">SUM(J69:J73)</f>
        <v>32.369</v>
      </c>
      <c r="K68" s="65">
        <f t="shared" si="27"/>
        <v>36.539000000000001</v>
      </c>
      <c r="L68" s="65">
        <f t="shared" si="27"/>
        <v>32.738999999999997</v>
      </c>
      <c r="M68" s="65">
        <f t="shared" si="27"/>
        <v>32.241</v>
      </c>
      <c r="N68" s="65">
        <f t="shared" si="27"/>
        <v>33.98899999999999</v>
      </c>
      <c r="O68" s="111">
        <f t="shared" si="27"/>
        <v>26.084999999999997</v>
      </c>
      <c r="P68" s="111">
        <f t="shared" si="27"/>
        <v>26.584999999999997</v>
      </c>
      <c r="Q68" s="111">
        <f t="shared" si="27"/>
        <v>31.240000000000002</v>
      </c>
      <c r="R68" s="111">
        <f t="shared" si="27"/>
        <v>31.516000000000005</v>
      </c>
      <c r="S68" s="111">
        <f t="shared" si="27"/>
        <v>31.831240000000001</v>
      </c>
      <c r="T68" s="111">
        <f t="shared" si="27"/>
        <v>31.831240000000001</v>
      </c>
      <c r="U68" s="112">
        <f t="shared" si="27"/>
        <v>32.467864800000001</v>
      </c>
    </row>
    <row r="69" spans="1:21" s="27" customFormat="1" ht="15.6" x14ac:dyDescent="0.25">
      <c r="A69" s="78"/>
      <c r="B69" s="81" t="s">
        <v>111</v>
      </c>
      <c r="C69" s="80" t="s">
        <v>107</v>
      </c>
      <c r="D69" s="49"/>
      <c r="E69" s="49"/>
      <c r="F69" s="49"/>
      <c r="G69" s="49"/>
      <c r="H69" s="49"/>
      <c r="I69" s="49">
        <v>22.670999999999999</v>
      </c>
      <c r="J69" s="49">
        <v>25.16</v>
      </c>
      <c r="K69" s="65">
        <v>29.074000000000002</v>
      </c>
      <c r="L69" s="65">
        <v>25.425999999999998</v>
      </c>
      <c r="M69" s="65">
        <v>23.117999999999999</v>
      </c>
      <c r="N69" s="65">
        <v>23.766999999999999</v>
      </c>
      <c r="O69" s="65">
        <v>17.899999999999999</v>
      </c>
      <c r="P69" s="65">
        <v>18.399999999999999</v>
      </c>
      <c r="Q69" s="65">
        <v>22.8</v>
      </c>
      <c r="R69" s="65">
        <f>Q69*1.01-0.004</f>
        <v>23.024000000000001</v>
      </c>
      <c r="S69" s="65">
        <f>R69*1.01+0.085</f>
        <v>23.33924</v>
      </c>
      <c r="T69" s="65">
        <v>23.33924</v>
      </c>
      <c r="U69" s="66">
        <f>S69*1.02</f>
        <v>23.806024799999999</v>
      </c>
    </row>
    <row r="70" spans="1:21" s="27" customFormat="1" ht="15.6" x14ac:dyDescent="0.25">
      <c r="A70" s="78"/>
      <c r="B70" s="81" t="s">
        <v>112</v>
      </c>
      <c r="C70" s="80" t="s">
        <v>107</v>
      </c>
      <c r="D70" s="49"/>
      <c r="E70" s="49"/>
      <c r="F70" s="49"/>
      <c r="G70" s="49"/>
      <c r="H70" s="49"/>
      <c r="I70" s="49">
        <v>4.6040000000000001</v>
      </c>
      <c r="J70" s="49">
        <v>4.96</v>
      </c>
      <c r="K70" s="65">
        <v>4.5659999999999998</v>
      </c>
      <c r="L70" s="65">
        <v>4.1849999999999996</v>
      </c>
      <c r="M70" s="65">
        <v>4.7889999999999997</v>
      </c>
      <c r="N70" s="65">
        <v>5.7889999999999997</v>
      </c>
      <c r="O70" s="65">
        <v>5.1619999999999999</v>
      </c>
      <c r="P70" s="65">
        <v>5.1619999999999999</v>
      </c>
      <c r="Q70" s="65">
        <v>5.2</v>
      </c>
      <c r="R70" s="65">
        <f>Q70*1.01</f>
        <v>5.2520000000000007</v>
      </c>
      <c r="S70" s="65">
        <v>5.2520000000000007</v>
      </c>
      <c r="T70" s="65">
        <v>5.2520000000000007</v>
      </c>
      <c r="U70" s="66">
        <f t="shared" ref="U70:U73" si="28">S70*1.02</f>
        <v>5.3570400000000005</v>
      </c>
    </row>
    <row r="71" spans="1:21" s="27" customFormat="1" ht="15.6" x14ac:dyDescent="0.25">
      <c r="A71" s="78"/>
      <c r="B71" s="81" t="s">
        <v>113</v>
      </c>
      <c r="C71" s="80" t="s">
        <v>107</v>
      </c>
      <c r="D71" s="49"/>
      <c r="E71" s="49"/>
      <c r="F71" s="49"/>
      <c r="G71" s="49"/>
      <c r="H71" s="49"/>
      <c r="I71" s="49">
        <v>0.755</v>
      </c>
      <c r="J71" s="49">
        <v>0.89700000000000002</v>
      </c>
      <c r="K71" s="65">
        <v>1.3129999999999999</v>
      </c>
      <c r="L71" s="65">
        <v>1.5329999999999999</v>
      </c>
      <c r="M71" s="65">
        <v>2.3260000000000001</v>
      </c>
      <c r="N71" s="65">
        <v>2.9340000000000002</v>
      </c>
      <c r="O71" s="65">
        <v>1.5</v>
      </c>
      <c r="P71" s="65">
        <v>1.5</v>
      </c>
      <c r="Q71" s="65">
        <v>1.7</v>
      </c>
      <c r="R71" s="65">
        <v>1.7</v>
      </c>
      <c r="S71" s="65">
        <v>1.7</v>
      </c>
      <c r="T71" s="65">
        <v>1.7</v>
      </c>
      <c r="U71" s="66">
        <f t="shared" si="28"/>
        <v>1.734</v>
      </c>
    </row>
    <row r="72" spans="1:21" s="27" customFormat="1" ht="15.6" x14ac:dyDescent="0.25">
      <c r="A72" s="78"/>
      <c r="B72" s="81" t="s">
        <v>114</v>
      </c>
      <c r="C72" s="80" t="s">
        <v>107</v>
      </c>
      <c r="D72" s="49"/>
      <c r="E72" s="49"/>
      <c r="F72" s="49"/>
      <c r="G72" s="49"/>
      <c r="H72" s="49"/>
      <c r="I72" s="49">
        <v>0</v>
      </c>
      <c r="J72" s="49">
        <v>0</v>
      </c>
      <c r="K72" s="65">
        <v>0</v>
      </c>
      <c r="L72" s="65">
        <v>0.20799999999999999</v>
      </c>
      <c r="M72" s="65">
        <v>0.22900000000000001</v>
      </c>
      <c r="N72" s="65">
        <v>0.23</v>
      </c>
      <c r="O72" s="65">
        <v>0.20300000000000001</v>
      </c>
      <c r="P72" s="65">
        <v>0.20300000000000001</v>
      </c>
      <c r="Q72" s="65">
        <v>0.21</v>
      </c>
      <c r="R72" s="65">
        <v>0.21</v>
      </c>
      <c r="S72" s="65">
        <v>0.21</v>
      </c>
      <c r="T72" s="65">
        <v>0.21</v>
      </c>
      <c r="U72" s="66">
        <f t="shared" si="28"/>
        <v>0.2142</v>
      </c>
    </row>
    <row r="73" spans="1:21" s="27" customFormat="1" ht="15.6" x14ac:dyDescent="0.25">
      <c r="A73" s="78"/>
      <c r="B73" s="81" t="s">
        <v>115</v>
      </c>
      <c r="C73" s="80" t="s">
        <v>107</v>
      </c>
      <c r="D73" s="49"/>
      <c r="E73" s="49"/>
      <c r="F73" s="49"/>
      <c r="G73" s="49"/>
      <c r="H73" s="49"/>
      <c r="I73" s="49">
        <v>1.988</v>
      </c>
      <c r="J73" s="49">
        <v>1.3520000000000001</v>
      </c>
      <c r="K73" s="65">
        <v>1.5860000000000001</v>
      </c>
      <c r="L73" s="65">
        <v>1.387</v>
      </c>
      <c r="M73" s="65">
        <v>1.7789999999999999</v>
      </c>
      <c r="N73" s="65">
        <v>1.2689999999999999</v>
      </c>
      <c r="O73" s="65">
        <v>1.32</v>
      </c>
      <c r="P73" s="65">
        <v>1.32</v>
      </c>
      <c r="Q73" s="65">
        <v>1.33</v>
      </c>
      <c r="R73" s="65">
        <v>1.33</v>
      </c>
      <c r="S73" s="65">
        <v>1.33</v>
      </c>
      <c r="T73" s="65">
        <v>1.33</v>
      </c>
      <c r="U73" s="66">
        <f t="shared" si="28"/>
        <v>1.3566</v>
      </c>
    </row>
    <row r="74" spans="1:21" s="27" customFormat="1" ht="15.6" x14ac:dyDescent="0.25">
      <c r="A74" s="78" t="s">
        <v>116</v>
      </c>
      <c r="B74" s="31" t="s">
        <v>117</v>
      </c>
      <c r="C74" s="80" t="s">
        <v>107</v>
      </c>
      <c r="D74" s="49"/>
      <c r="E74" s="49"/>
      <c r="F74" s="49"/>
      <c r="G74" s="49"/>
      <c r="H74" s="49"/>
      <c r="I74" s="49">
        <v>9.3149999999999995</v>
      </c>
      <c r="J74" s="49">
        <v>10.125</v>
      </c>
      <c r="K74" s="65">
        <v>7.7649999999999997</v>
      </c>
      <c r="L74" s="65">
        <v>7.9660000000000002</v>
      </c>
      <c r="M74" s="65">
        <v>14.345000000000001</v>
      </c>
      <c r="N74" s="65">
        <v>10.098000000000001</v>
      </c>
      <c r="O74" s="111">
        <v>7.782</v>
      </c>
      <c r="P74" s="111">
        <v>7.782</v>
      </c>
      <c r="Q74" s="111">
        <v>5.2990000000000004</v>
      </c>
      <c r="R74" s="111">
        <v>5.3879999999999999</v>
      </c>
      <c r="S74" s="111">
        <f>R74*1.01</f>
        <v>5.4418800000000003</v>
      </c>
      <c r="T74" s="111">
        <v>5.4418800000000003</v>
      </c>
      <c r="U74" s="112">
        <f>S74*1.02</f>
        <v>5.5507176000000005</v>
      </c>
    </row>
    <row r="75" spans="1:21" s="27" customFormat="1" ht="15.6" x14ac:dyDescent="0.25">
      <c r="A75" s="78" t="s">
        <v>34</v>
      </c>
      <c r="B75" s="79" t="s">
        <v>118</v>
      </c>
      <c r="C75" s="80" t="s">
        <v>107</v>
      </c>
      <c r="D75" s="49"/>
      <c r="E75" s="49"/>
      <c r="F75" s="49"/>
      <c r="G75" s="49"/>
      <c r="H75" s="49"/>
      <c r="I75" s="49">
        <f t="shared" ref="I75:R75" si="29">SUM(I76:I78)</f>
        <v>91.275000000000006</v>
      </c>
      <c r="J75" s="49">
        <f t="shared" si="29"/>
        <v>85.903000000000006</v>
      </c>
      <c r="K75" s="65">
        <f t="shared" ref="K75" si="30">SUM(K76:K78)</f>
        <v>75.203000000000003</v>
      </c>
      <c r="L75" s="65">
        <f>SUM(L76:L78)+0.126</f>
        <v>89.802000000000007</v>
      </c>
      <c r="M75" s="65">
        <f t="shared" ref="M75:N75" si="31">SUM(M76:M78)</f>
        <v>72.724000000000004</v>
      </c>
      <c r="N75" s="65">
        <f t="shared" si="31"/>
        <v>92.779000000000011</v>
      </c>
      <c r="O75" s="111">
        <f>SUM(O76:O78)+0.5</f>
        <v>97.718000000000004</v>
      </c>
      <c r="P75" s="111">
        <f t="shared" si="29"/>
        <v>41.133999999999993</v>
      </c>
      <c r="Q75" s="111">
        <f t="shared" ref="Q75" si="32">SUM(Q76:Q78)</f>
        <v>39.716999999999999</v>
      </c>
      <c r="R75" s="111">
        <f t="shared" si="29"/>
        <v>40.114170000000001</v>
      </c>
      <c r="S75" s="111">
        <f t="shared" ref="S75:U75" si="33">SUM(S76:S78)</f>
        <v>40.515311699999998</v>
      </c>
      <c r="T75" s="111">
        <f t="shared" si="33"/>
        <v>40.515311699999998</v>
      </c>
      <c r="U75" s="112">
        <f t="shared" si="33"/>
        <v>41.325617934000007</v>
      </c>
    </row>
    <row r="76" spans="1:21" s="27" customFormat="1" ht="15.6" x14ac:dyDescent="0.25">
      <c r="A76" s="78"/>
      <c r="B76" s="81" t="s">
        <v>119</v>
      </c>
      <c r="C76" s="80" t="s">
        <v>107</v>
      </c>
      <c r="D76" s="49"/>
      <c r="E76" s="49"/>
      <c r="F76" s="49"/>
      <c r="G76" s="49"/>
      <c r="H76" s="49"/>
      <c r="I76" s="49">
        <v>11.375999999999999</v>
      </c>
      <c r="J76" s="49">
        <v>18.137</v>
      </c>
      <c r="K76" s="65">
        <v>20.797999999999998</v>
      </c>
      <c r="L76" s="65">
        <v>32.329000000000001</v>
      </c>
      <c r="M76" s="65">
        <f>58.07+6.88</f>
        <v>64.95</v>
      </c>
      <c r="N76" s="65">
        <v>84.555000000000007</v>
      </c>
      <c r="O76" s="65">
        <v>88.372</v>
      </c>
      <c r="P76" s="65">
        <v>32.287999999999997</v>
      </c>
      <c r="Q76" s="65">
        <v>30.553999999999998</v>
      </c>
      <c r="R76" s="65">
        <f>Q76*1.01</f>
        <v>30.859539999999999</v>
      </c>
      <c r="S76" s="65">
        <f t="shared" ref="S76:S78" si="34">R76*1.01</f>
        <v>31.168135400000001</v>
      </c>
      <c r="T76" s="65">
        <v>31.168135400000001</v>
      </c>
      <c r="U76" s="66">
        <f t="shared" ref="U76:U78" si="35">S76*1.02</f>
        <v>31.791498108000003</v>
      </c>
    </row>
    <row r="77" spans="1:21" s="27" customFormat="1" ht="15.6" x14ac:dyDescent="0.25">
      <c r="A77" s="78"/>
      <c r="B77" s="81" t="s">
        <v>120</v>
      </c>
      <c r="C77" s="80" t="s">
        <v>107</v>
      </c>
      <c r="D77" s="49"/>
      <c r="E77" s="49"/>
      <c r="F77" s="49"/>
      <c r="G77" s="49"/>
      <c r="H77" s="49"/>
      <c r="I77" s="49">
        <v>0.71899999999999997</v>
      </c>
      <c r="J77" s="49">
        <v>0.86399999999999999</v>
      </c>
      <c r="K77" s="65">
        <v>0.63700000000000001</v>
      </c>
      <c r="L77" s="65">
        <v>0.71599999999999997</v>
      </c>
      <c r="M77" s="65">
        <v>0.74299999999999999</v>
      </c>
      <c r="N77" s="65">
        <v>0.68300000000000005</v>
      </c>
      <c r="O77" s="65">
        <v>0.72399999999999998</v>
      </c>
      <c r="P77" s="65">
        <v>0.72399999999999998</v>
      </c>
      <c r="Q77" s="65">
        <v>0.82</v>
      </c>
      <c r="R77" s="65">
        <f t="shared" ref="R77:R78" si="36">Q77*1.01</f>
        <v>0.82819999999999994</v>
      </c>
      <c r="S77" s="65">
        <f t="shared" si="34"/>
        <v>0.83648199999999995</v>
      </c>
      <c r="T77" s="65">
        <v>0.83648199999999995</v>
      </c>
      <c r="U77" s="66">
        <f t="shared" si="35"/>
        <v>0.85321163999999994</v>
      </c>
    </row>
    <row r="78" spans="1:21" s="27" customFormat="1" ht="15.6" x14ac:dyDescent="0.25">
      <c r="A78" s="78"/>
      <c r="B78" s="81" t="s">
        <v>121</v>
      </c>
      <c r="C78" s="80" t="s">
        <v>107</v>
      </c>
      <c r="D78" s="49"/>
      <c r="E78" s="49"/>
      <c r="F78" s="49"/>
      <c r="G78" s="49"/>
      <c r="H78" s="49"/>
      <c r="I78" s="49">
        <v>79.180000000000007</v>
      </c>
      <c r="J78" s="49">
        <v>66.902000000000001</v>
      </c>
      <c r="K78" s="65">
        <v>53.768000000000001</v>
      </c>
      <c r="L78" s="65">
        <v>56.631</v>
      </c>
      <c r="M78" s="65">
        <v>7.0309999999999997</v>
      </c>
      <c r="N78" s="65">
        <v>7.5410000000000004</v>
      </c>
      <c r="O78" s="65">
        <v>8.1219999999999999</v>
      </c>
      <c r="P78" s="65">
        <v>8.1219999999999999</v>
      </c>
      <c r="Q78" s="65">
        <v>8.343</v>
      </c>
      <c r="R78" s="65">
        <f t="shared" si="36"/>
        <v>8.4264299999999999</v>
      </c>
      <c r="S78" s="65">
        <f t="shared" si="34"/>
        <v>8.5106943000000008</v>
      </c>
      <c r="T78" s="65">
        <v>8.5106943000000008</v>
      </c>
      <c r="U78" s="66">
        <f t="shared" si="35"/>
        <v>8.6809081860000017</v>
      </c>
    </row>
    <row r="79" spans="1:21" s="27" customFormat="1" ht="31.2" x14ac:dyDescent="0.25">
      <c r="A79" s="78" t="s">
        <v>51</v>
      </c>
      <c r="B79" s="31" t="s">
        <v>122</v>
      </c>
      <c r="C79" s="80" t="s">
        <v>107</v>
      </c>
      <c r="D79" s="49"/>
      <c r="E79" s="49"/>
      <c r="F79" s="49"/>
      <c r="G79" s="49"/>
      <c r="H79" s="49"/>
      <c r="I79" s="49">
        <f>SUM(I80:I89)</f>
        <v>127.63700000000001</v>
      </c>
      <c r="J79" s="49">
        <f t="shared" ref="J79:U79" si="37">SUM(J80:J89)</f>
        <v>129.256</v>
      </c>
      <c r="K79" s="65">
        <f t="shared" si="37"/>
        <v>122.46000000000001</v>
      </c>
      <c r="L79" s="65">
        <f t="shared" si="37"/>
        <v>130.02799999999999</v>
      </c>
      <c r="M79" s="65">
        <f t="shared" si="37"/>
        <v>119.86700000000002</v>
      </c>
      <c r="N79" s="65">
        <f t="shared" si="37"/>
        <v>135.01999999999998</v>
      </c>
      <c r="O79" s="111">
        <f t="shared" si="37"/>
        <v>135.41200000000001</v>
      </c>
      <c r="P79" s="111">
        <f t="shared" si="37"/>
        <v>75.501000000000005</v>
      </c>
      <c r="Q79" s="111">
        <f t="shared" si="37"/>
        <v>76.256009999999989</v>
      </c>
      <c r="R79" s="111">
        <f t="shared" si="37"/>
        <v>77.018570100000005</v>
      </c>
      <c r="S79" s="111">
        <f t="shared" si="37"/>
        <v>77.788755800999994</v>
      </c>
      <c r="T79" s="111">
        <f t="shared" si="37"/>
        <v>77.788755800999994</v>
      </c>
      <c r="U79" s="112">
        <f t="shared" si="37"/>
        <v>79.344530917020009</v>
      </c>
    </row>
    <row r="80" spans="1:21" s="27" customFormat="1" ht="15.6" x14ac:dyDescent="0.25">
      <c r="A80" s="78"/>
      <c r="B80" s="81" t="s">
        <v>123</v>
      </c>
      <c r="C80" s="80" t="s">
        <v>107</v>
      </c>
      <c r="D80" s="49"/>
      <c r="E80" s="49"/>
      <c r="F80" s="49"/>
      <c r="G80" s="49"/>
      <c r="H80" s="49"/>
      <c r="I80" s="49">
        <v>31.364000000000001</v>
      </c>
      <c r="J80" s="49">
        <v>33.994</v>
      </c>
      <c r="K80" s="65">
        <v>33.368000000000002</v>
      </c>
      <c r="L80" s="65">
        <v>32.505000000000003</v>
      </c>
      <c r="M80" s="65">
        <v>39.548000000000002</v>
      </c>
      <c r="N80" s="65">
        <v>35.765999999999998</v>
      </c>
      <c r="O80" s="65">
        <v>37.531999999999996</v>
      </c>
      <c r="P80" s="65">
        <v>30.867999999999999</v>
      </c>
      <c r="Q80" s="65">
        <f>P80*1.01</f>
        <v>31.176679999999998</v>
      </c>
      <c r="R80" s="65">
        <f>Q80*1.01</f>
        <v>31.488446799999998</v>
      </c>
      <c r="S80" s="65">
        <f>R80*1.01</f>
        <v>31.803331267999997</v>
      </c>
      <c r="T80" s="65">
        <v>31.803331267999997</v>
      </c>
      <c r="U80" s="66">
        <f t="shared" ref="U80:U89" si="38">S80*1.02</f>
        <v>32.439397893359995</v>
      </c>
    </row>
    <row r="81" spans="1:21" s="27" customFormat="1" ht="15.6" x14ac:dyDescent="0.25">
      <c r="A81" s="78"/>
      <c r="B81" s="81" t="s">
        <v>124</v>
      </c>
      <c r="C81" s="80" t="s">
        <v>107</v>
      </c>
      <c r="D81" s="49"/>
      <c r="E81" s="49"/>
      <c r="F81" s="49"/>
      <c r="G81" s="49"/>
      <c r="H81" s="49"/>
      <c r="I81" s="49">
        <v>0.46400000000000002</v>
      </c>
      <c r="J81" s="49">
        <v>0.72699999999999998</v>
      </c>
      <c r="K81" s="65">
        <v>0.52</v>
      </c>
      <c r="L81" s="65">
        <v>0.60199999999999998</v>
      </c>
      <c r="M81" s="65">
        <v>0.621</v>
      </c>
      <c r="N81" s="65">
        <v>0.59899999999999998</v>
      </c>
      <c r="O81" s="65">
        <v>0.59499999999999997</v>
      </c>
      <c r="P81" s="65">
        <v>0.51100000000000001</v>
      </c>
      <c r="Q81" s="65">
        <f t="shared" ref="Q81:S89" si="39">P81*1.01</f>
        <v>0.51611000000000007</v>
      </c>
      <c r="R81" s="65">
        <f t="shared" si="39"/>
        <v>0.5212711000000001</v>
      </c>
      <c r="S81" s="65">
        <f t="shared" si="39"/>
        <v>0.52648381100000008</v>
      </c>
      <c r="T81" s="65">
        <v>0.52648381100000008</v>
      </c>
      <c r="U81" s="66">
        <f t="shared" si="38"/>
        <v>0.53701348722000009</v>
      </c>
    </row>
    <row r="82" spans="1:21" s="27" customFormat="1" ht="15.6" x14ac:dyDescent="0.25">
      <c r="A82" s="82"/>
      <c r="B82" s="83" t="s">
        <v>125</v>
      </c>
      <c r="C82" s="84" t="s">
        <v>107</v>
      </c>
      <c r="D82" s="49"/>
      <c r="E82" s="49"/>
      <c r="F82" s="49"/>
      <c r="G82" s="49"/>
      <c r="H82" s="49"/>
      <c r="I82" s="49">
        <v>1.242</v>
      </c>
      <c r="J82" s="49">
        <v>0.94299999999999995</v>
      </c>
      <c r="K82" s="65">
        <v>1.202</v>
      </c>
      <c r="L82" s="65">
        <v>4.056</v>
      </c>
      <c r="M82" s="65">
        <v>1.054</v>
      </c>
      <c r="N82" s="65">
        <v>1.0249999999999999</v>
      </c>
      <c r="O82" s="65">
        <v>0.95699999999999996</v>
      </c>
      <c r="P82" s="65">
        <v>0.90300000000000002</v>
      </c>
      <c r="Q82" s="65">
        <f t="shared" si="39"/>
        <v>0.91203000000000001</v>
      </c>
      <c r="R82" s="65">
        <f t="shared" si="39"/>
        <v>0.92115029999999998</v>
      </c>
      <c r="S82" s="65">
        <f t="shared" si="39"/>
        <v>0.93036180299999993</v>
      </c>
      <c r="T82" s="65">
        <v>0.93036180299999993</v>
      </c>
      <c r="U82" s="66">
        <f t="shared" si="38"/>
        <v>0.94896903905999996</v>
      </c>
    </row>
    <row r="83" spans="1:21" s="27" customFormat="1" ht="15.6" x14ac:dyDescent="0.25">
      <c r="A83" s="78"/>
      <c r="B83" s="81" t="s">
        <v>126</v>
      </c>
      <c r="C83" s="80" t="s">
        <v>107</v>
      </c>
      <c r="D83" s="49"/>
      <c r="E83" s="49"/>
      <c r="F83" s="49"/>
      <c r="G83" s="49"/>
      <c r="H83" s="49"/>
      <c r="I83" s="49">
        <v>9.56</v>
      </c>
      <c r="J83" s="49">
        <v>9.2010000000000005</v>
      </c>
      <c r="K83" s="65">
        <v>10.430999999999999</v>
      </c>
      <c r="L83" s="65">
        <v>7.6790000000000003</v>
      </c>
      <c r="M83" s="65">
        <v>14.413</v>
      </c>
      <c r="N83" s="65">
        <v>11.584</v>
      </c>
      <c r="O83" s="65">
        <v>11.711</v>
      </c>
      <c r="P83" s="65">
        <v>6.8659999999999997</v>
      </c>
      <c r="Q83" s="65">
        <f t="shared" si="39"/>
        <v>6.93466</v>
      </c>
      <c r="R83" s="65">
        <f t="shared" si="39"/>
        <v>7.0040066000000003</v>
      </c>
      <c r="S83" s="65">
        <f t="shared" si="39"/>
        <v>7.0740466660000001</v>
      </c>
      <c r="T83" s="65">
        <v>7.0740466660000001</v>
      </c>
      <c r="U83" s="66">
        <f t="shared" si="38"/>
        <v>7.2155275993200005</v>
      </c>
    </row>
    <row r="84" spans="1:21" s="27" customFormat="1" ht="15.6" x14ac:dyDescent="0.25">
      <c r="A84" s="78"/>
      <c r="B84" s="81" t="s">
        <v>127</v>
      </c>
      <c r="C84" s="80" t="s">
        <v>107</v>
      </c>
      <c r="D84" s="49"/>
      <c r="E84" s="49"/>
      <c r="F84" s="49"/>
      <c r="G84" s="49"/>
      <c r="H84" s="49"/>
      <c r="I84" s="49">
        <v>43.795000000000002</v>
      </c>
      <c r="J84" s="49">
        <v>41.646000000000001</v>
      </c>
      <c r="K84" s="65">
        <v>33.779000000000003</v>
      </c>
      <c r="L84" s="65">
        <v>48.308999999999997</v>
      </c>
      <c r="M84" s="65">
        <v>30.132000000000001</v>
      </c>
      <c r="N84" s="65">
        <v>47.83</v>
      </c>
      <c r="O84" s="65">
        <v>34.573999999999998</v>
      </c>
      <c r="P84" s="65">
        <v>3.484</v>
      </c>
      <c r="Q84" s="65">
        <f t="shared" si="39"/>
        <v>3.51884</v>
      </c>
      <c r="R84" s="65">
        <f t="shared" si="39"/>
        <v>3.5540284</v>
      </c>
      <c r="S84" s="65">
        <f t="shared" si="39"/>
        <v>3.5895686840000001</v>
      </c>
      <c r="T84" s="65">
        <v>3.5895686840000001</v>
      </c>
      <c r="U84" s="66">
        <f t="shared" si="38"/>
        <v>3.6613600576800001</v>
      </c>
    </row>
    <row r="85" spans="1:21" s="27" customFormat="1" ht="15.6" x14ac:dyDescent="0.25">
      <c r="A85" s="78"/>
      <c r="B85" s="81" t="s">
        <v>128</v>
      </c>
      <c r="C85" s="80" t="s">
        <v>107</v>
      </c>
      <c r="D85" s="49"/>
      <c r="E85" s="49"/>
      <c r="F85" s="49"/>
      <c r="G85" s="49"/>
      <c r="H85" s="49"/>
      <c r="I85" s="49"/>
      <c r="J85" s="49">
        <v>2E-3</v>
      </c>
      <c r="K85" s="65">
        <v>0</v>
      </c>
      <c r="L85" s="65">
        <v>2E-3</v>
      </c>
      <c r="M85" s="65">
        <v>0</v>
      </c>
      <c r="N85" s="65">
        <v>0.66</v>
      </c>
      <c r="O85" s="65">
        <v>0.66</v>
      </c>
      <c r="P85" s="65">
        <v>0</v>
      </c>
      <c r="Q85" s="65">
        <f t="shared" si="39"/>
        <v>0</v>
      </c>
      <c r="R85" s="65">
        <f t="shared" si="39"/>
        <v>0</v>
      </c>
      <c r="S85" s="65">
        <f t="shared" si="39"/>
        <v>0</v>
      </c>
      <c r="T85" s="65">
        <v>0</v>
      </c>
      <c r="U85" s="66">
        <f t="shared" si="38"/>
        <v>0</v>
      </c>
    </row>
    <row r="86" spans="1:21" s="27" customFormat="1" ht="15.6" hidden="1" outlineLevel="1" x14ac:dyDescent="0.25">
      <c r="A86" s="78"/>
      <c r="B86" s="81" t="s">
        <v>129</v>
      </c>
      <c r="C86" s="80" t="s">
        <v>107</v>
      </c>
      <c r="D86" s="49"/>
      <c r="E86" s="49"/>
      <c r="F86" s="49"/>
      <c r="G86" s="49"/>
      <c r="H86" s="49"/>
      <c r="I86" s="49">
        <v>0.24199999999999999</v>
      </c>
      <c r="J86" s="49">
        <v>0</v>
      </c>
      <c r="K86" s="65">
        <v>0</v>
      </c>
      <c r="L86" s="65">
        <v>7.0000000000000001E-3</v>
      </c>
      <c r="M86" s="65">
        <v>0</v>
      </c>
      <c r="N86" s="65">
        <v>0</v>
      </c>
      <c r="O86" s="65">
        <v>0</v>
      </c>
      <c r="P86" s="65">
        <v>0</v>
      </c>
      <c r="Q86" s="65">
        <f t="shared" si="39"/>
        <v>0</v>
      </c>
      <c r="R86" s="65">
        <f t="shared" si="39"/>
        <v>0</v>
      </c>
      <c r="S86" s="65">
        <f t="shared" si="39"/>
        <v>0</v>
      </c>
      <c r="T86" s="65">
        <v>0</v>
      </c>
      <c r="U86" s="66">
        <f t="shared" si="38"/>
        <v>0</v>
      </c>
    </row>
    <row r="87" spans="1:21" s="27" customFormat="1" ht="15.6" collapsed="1" x14ac:dyDescent="0.25">
      <c r="A87" s="78"/>
      <c r="B87" s="81" t="s">
        <v>130</v>
      </c>
      <c r="C87" s="80" t="s">
        <v>107</v>
      </c>
      <c r="D87" s="49"/>
      <c r="E87" s="49"/>
      <c r="F87" s="49"/>
      <c r="G87" s="49"/>
      <c r="H87" s="49"/>
      <c r="I87" s="49">
        <v>24.741</v>
      </c>
      <c r="J87" s="49">
        <v>26.234999999999999</v>
      </c>
      <c r="K87" s="65">
        <v>27.763999999999999</v>
      </c>
      <c r="L87" s="65">
        <v>22.994</v>
      </c>
      <c r="M87" s="65">
        <v>21.064</v>
      </c>
      <c r="N87" s="65">
        <v>23.893999999999998</v>
      </c>
      <c r="O87" s="65">
        <v>25.759</v>
      </c>
      <c r="P87" s="65">
        <v>21.126999999999999</v>
      </c>
      <c r="Q87" s="65">
        <f t="shared" si="39"/>
        <v>21.338269999999998</v>
      </c>
      <c r="R87" s="65">
        <f t="shared" si="39"/>
        <v>21.551652699999998</v>
      </c>
      <c r="S87" s="65">
        <f t="shared" si="39"/>
        <v>21.767169227</v>
      </c>
      <c r="T87" s="65">
        <v>21.767169227</v>
      </c>
      <c r="U87" s="66">
        <f t="shared" si="38"/>
        <v>22.202512611540001</v>
      </c>
    </row>
    <row r="88" spans="1:21" s="27" customFormat="1" ht="15.6" x14ac:dyDescent="0.25">
      <c r="A88" s="78"/>
      <c r="B88" s="81" t="s">
        <v>131</v>
      </c>
      <c r="C88" s="80" t="s">
        <v>107</v>
      </c>
      <c r="D88" s="49"/>
      <c r="E88" s="49"/>
      <c r="F88" s="49"/>
      <c r="G88" s="49"/>
      <c r="H88" s="49"/>
      <c r="I88" s="49">
        <v>0</v>
      </c>
      <c r="J88" s="49">
        <v>1.4999999999999999E-2</v>
      </c>
      <c r="K88" s="65">
        <v>0.18</v>
      </c>
      <c r="L88" s="65">
        <v>0.13500000000000001</v>
      </c>
      <c r="M88" s="65">
        <v>0.125</v>
      </c>
      <c r="N88" s="65">
        <v>0.125</v>
      </c>
      <c r="O88" s="65">
        <v>0.12</v>
      </c>
      <c r="P88" s="65">
        <v>0.12</v>
      </c>
      <c r="Q88" s="65">
        <f t="shared" si="39"/>
        <v>0.1212</v>
      </c>
      <c r="R88" s="65">
        <f t="shared" si="39"/>
        <v>0.12241200000000001</v>
      </c>
      <c r="S88" s="65">
        <f t="shared" si="39"/>
        <v>0.12363612</v>
      </c>
      <c r="T88" s="65">
        <v>0.12363612</v>
      </c>
      <c r="U88" s="66">
        <f t="shared" si="38"/>
        <v>0.1261088424</v>
      </c>
    </row>
    <row r="89" spans="1:21" s="27" customFormat="1" ht="15.6" x14ac:dyDescent="0.25">
      <c r="A89" s="78"/>
      <c r="B89" s="81" t="s">
        <v>132</v>
      </c>
      <c r="C89" s="80" t="s">
        <v>107</v>
      </c>
      <c r="D89" s="49"/>
      <c r="E89" s="49"/>
      <c r="F89" s="49"/>
      <c r="G89" s="49"/>
      <c r="H89" s="49"/>
      <c r="I89" s="49">
        <v>16.228999999999999</v>
      </c>
      <c r="J89" s="49">
        <v>16.492999999999999</v>
      </c>
      <c r="K89" s="65">
        <v>15.215999999999999</v>
      </c>
      <c r="L89" s="65">
        <v>13.739000000000001</v>
      </c>
      <c r="M89" s="65">
        <v>12.91</v>
      </c>
      <c r="N89" s="65">
        <v>13.537000000000001</v>
      </c>
      <c r="O89" s="65">
        <v>23.504000000000001</v>
      </c>
      <c r="P89" s="65">
        <v>11.622</v>
      </c>
      <c r="Q89" s="65">
        <f t="shared" si="39"/>
        <v>11.73822</v>
      </c>
      <c r="R89" s="65">
        <f t="shared" si="39"/>
        <v>11.8556022</v>
      </c>
      <c r="S89" s="65">
        <f t="shared" si="39"/>
        <v>11.974158222</v>
      </c>
      <c r="T89" s="65">
        <v>11.974158222</v>
      </c>
      <c r="U89" s="66">
        <f t="shared" si="38"/>
        <v>12.213641386440001</v>
      </c>
    </row>
    <row r="90" spans="1:21" s="27" customFormat="1" ht="31.2" x14ac:dyDescent="0.25">
      <c r="A90" s="78" t="s">
        <v>58</v>
      </c>
      <c r="B90" s="31" t="s">
        <v>133</v>
      </c>
      <c r="C90" s="80" t="s">
        <v>107</v>
      </c>
      <c r="D90" s="49"/>
      <c r="E90" s="49"/>
      <c r="F90" s="49"/>
      <c r="G90" s="49"/>
      <c r="H90" s="49"/>
      <c r="I90" s="49">
        <f t="shared" ref="I90:U90" si="40">I66-I79</f>
        <v>2.9709999999999894</v>
      </c>
      <c r="J90" s="49">
        <f t="shared" si="40"/>
        <v>-0.85900000000000887</v>
      </c>
      <c r="K90" s="65">
        <f t="shared" si="40"/>
        <v>-2.953000000000003</v>
      </c>
      <c r="L90" s="65">
        <f t="shared" si="40"/>
        <v>0.47900000000001342</v>
      </c>
      <c r="M90" s="65">
        <f t="shared" si="40"/>
        <v>-0.55700000000001637</v>
      </c>
      <c r="N90" s="65">
        <f t="shared" si="40"/>
        <v>1.8460000000000036</v>
      </c>
      <c r="O90" s="111">
        <f t="shared" si="40"/>
        <v>-3.8269999999999982</v>
      </c>
      <c r="P90" s="111">
        <f t="shared" si="40"/>
        <v>0</v>
      </c>
      <c r="Q90" s="111">
        <f t="shared" si="40"/>
        <v>-9.9999999889632818E-6</v>
      </c>
      <c r="R90" s="111">
        <f t="shared" si="40"/>
        <v>-4.0010000000734181E-4</v>
      </c>
      <c r="S90" s="111">
        <f t="shared" si="40"/>
        <v>-3.2410100000390685E-4</v>
      </c>
      <c r="T90" s="111">
        <f t="shared" si="40"/>
        <v>-3.2410100000390685E-4</v>
      </c>
      <c r="U90" s="112">
        <f t="shared" si="40"/>
        <v>-3.3058302000199546E-4</v>
      </c>
    </row>
    <row r="91" spans="1:21" s="27" customFormat="1" ht="15.6" x14ac:dyDescent="0.25">
      <c r="A91" s="47" t="s">
        <v>134</v>
      </c>
      <c r="B91" s="58" t="s">
        <v>135</v>
      </c>
      <c r="C91" s="24"/>
      <c r="D91" s="85">
        <f>D92+D94+D96</f>
        <v>327617.5</v>
      </c>
      <c r="E91" s="86">
        <f>E92+E94+E96</f>
        <v>348144</v>
      </c>
      <c r="F91" s="85">
        <f>F92+F94+F96</f>
        <v>372600</v>
      </c>
      <c r="G91" s="85">
        <v>393892</v>
      </c>
      <c r="H91" s="85">
        <v>390630</v>
      </c>
      <c r="I91" s="85">
        <f t="shared" ref="I91:U91" si="41">I92+I94+I96</f>
        <v>394641</v>
      </c>
      <c r="J91" s="85">
        <f t="shared" si="41"/>
        <v>420736</v>
      </c>
      <c r="K91" s="87">
        <f t="shared" si="41"/>
        <v>432807</v>
      </c>
      <c r="L91" s="87">
        <f t="shared" si="41"/>
        <v>419915</v>
      </c>
      <c r="M91" s="87">
        <f t="shared" si="41"/>
        <v>424241</v>
      </c>
      <c r="N91" s="87">
        <f t="shared" si="41"/>
        <v>432474.36</v>
      </c>
      <c r="O91" s="87">
        <f t="shared" si="41"/>
        <v>460198.02999999997</v>
      </c>
      <c r="P91" s="85">
        <f t="shared" si="41"/>
        <v>500000.56270000001</v>
      </c>
      <c r="Q91" s="85">
        <f t="shared" si="41"/>
        <v>517981.60189999989</v>
      </c>
      <c r="R91" s="85">
        <f t="shared" si="41"/>
        <v>546264.43199919991</v>
      </c>
      <c r="S91" s="85">
        <f t="shared" si="41"/>
        <v>568829.04384389985</v>
      </c>
      <c r="T91" s="85">
        <f t="shared" si="41"/>
        <v>578094.97856435191</v>
      </c>
      <c r="U91" s="88">
        <f t="shared" si="41"/>
        <v>614561.85178339959</v>
      </c>
    </row>
    <row r="92" spans="1:21" s="27" customFormat="1" ht="62.4" x14ac:dyDescent="0.25">
      <c r="A92" s="22" t="s">
        <v>29</v>
      </c>
      <c r="B92" s="62" t="s">
        <v>136</v>
      </c>
      <c r="C92" s="24" t="s">
        <v>137</v>
      </c>
      <c r="D92" s="25">
        <f>302500*1.047</f>
        <v>316717.5</v>
      </c>
      <c r="E92" s="28">
        <v>334770.7</v>
      </c>
      <c r="F92" s="25">
        <v>357600</v>
      </c>
      <c r="G92" s="25">
        <f>F92*1.057</f>
        <v>377983.19999999995</v>
      </c>
      <c r="H92" s="25">
        <v>374764.79999999999</v>
      </c>
      <c r="I92" s="25">
        <v>377983</v>
      </c>
      <c r="J92" s="25">
        <v>402930</v>
      </c>
      <c r="K92" s="34">
        <v>415018</v>
      </c>
      <c r="L92" s="34">
        <v>402651</v>
      </c>
      <c r="M92" s="34">
        <v>406718</v>
      </c>
      <c r="N92" s="34">
        <f>M92*1.02/12*12</f>
        <v>414852.36</v>
      </c>
      <c r="O92" s="34">
        <f>M92*1.085</f>
        <v>441289.02999999997</v>
      </c>
      <c r="P92" s="25">
        <f>O92*109%</f>
        <v>481005.04269999999</v>
      </c>
      <c r="Q92" s="25">
        <f>O92*113%</f>
        <v>498656.60389999993</v>
      </c>
      <c r="R92" s="25">
        <f>P92*109.6%</f>
        <v>527181.52679919987</v>
      </c>
      <c r="S92" s="25">
        <f>Q92*110.1%</f>
        <v>549020.92089389986</v>
      </c>
      <c r="T92" s="25">
        <f>R92*106%</f>
        <v>558812.41840715194</v>
      </c>
      <c r="U92" s="26">
        <f>S92*108.2%</f>
        <v>594040.63640719966</v>
      </c>
    </row>
    <row r="93" spans="1:21" s="27" customFormat="1" ht="15.6" x14ac:dyDescent="0.25">
      <c r="A93" s="22" t="s">
        <v>51</v>
      </c>
      <c r="B93" s="62" t="s">
        <v>138</v>
      </c>
      <c r="C93" s="24" t="s">
        <v>139</v>
      </c>
      <c r="D93" s="25">
        <f>SUM(D92/302500)*100</f>
        <v>104.69999999999999</v>
      </c>
      <c r="E93" s="28">
        <f>SUM(E92/D92)*100</f>
        <v>105.70009551098376</v>
      </c>
      <c r="F93" s="28">
        <f>SUM(F92/E92)*100</f>
        <v>106.81938413367718</v>
      </c>
      <c r="G93" s="28">
        <f>SUM(G92/F92)*100</f>
        <v>105.69999999999999</v>
      </c>
      <c r="H93" s="28">
        <f>SUM(H92/G92)*100</f>
        <v>99.148533585619688</v>
      </c>
      <c r="I93" s="28">
        <f>SUM(I92/H92*100)</f>
        <v>100.85872525914921</v>
      </c>
      <c r="J93" s="28">
        <f>SUM(J92/I92*100)</f>
        <v>106.60003227658387</v>
      </c>
      <c r="K93" s="28">
        <f>K92/J92*100</f>
        <v>103.00002481820663</v>
      </c>
      <c r="L93" s="28">
        <f>L92/K92*100</f>
        <v>97.020129247406146</v>
      </c>
      <c r="M93" s="28">
        <f>M92/L92*100</f>
        <v>101.01005585482217</v>
      </c>
      <c r="N93" s="28">
        <f>N92/M92*100</f>
        <v>102</v>
      </c>
      <c r="O93" s="28">
        <f>O92/M92*100</f>
        <v>108.5</v>
      </c>
      <c r="P93" s="28">
        <f>P92/O92*100</f>
        <v>109.00000000000001</v>
      </c>
      <c r="Q93" s="28">
        <f>Q92/O92*100</f>
        <v>112.99999999999999</v>
      </c>
      <c r="R93" s="28">
        <f>R92/P92*100</f>
        <v>109.59999999999997</v>
      </c>
      <c r="S93" s="28">
        <f>S92/Q92*100</f>
        <v>110.1</v>
      </c>
      <c r="T93" s="28">
        <f>T92/R92*100</f>
        <v>106</v>
      </c>
      <c r="U93" s="40">
        <f>U92/S92*100</f>
        <v>108.2</v>
      </c>
    </row>
    <row r="94" spans="1:21" s="27" customFormat="1" ht="62.4" x14ac:dyDescent="0.25">
      <c r="A94" s="22" t="s">
        <v>58</v>
      </c>
      <c r="B94" s="62" t="s">
        <v>140</v>
      </c>
      <c r="C94" s="24" t="s">
        <v>137</v>
      </c>
      <c r="D94" s="25">
        <v>5300</v>
      </c>
      <c r="E94" s="28">
        <v>6133.3</v>
      </c>
      <c r="F94" s="25">
        <v>6800</v>
      </c>
      <c r="G94" s="25">
        <f>F94*1.048</f>
        <v>7126.4000000000005</v>
      </c>
      <c r="H94" s="25">
        <v>7099.2</v>
      </c>
      <c r="I94" s="25">
        <v>7454</v>
      </c>
      <c r="J94" s="25">
        <v>8050</v>
      </c>
      <c r="K94" s="25">
        <v>8131</v>
      </c>
      <c r="L94" s="25">
        <v>8050</v>
      </c>
      <c r="M94" s="25">
        <v>8171</v>
      </c>
      <c r="N94" s="25">
        <f>8212/12*12</f>
        <v>8212</v>
      </c>
      <c r="O94" s="25">
        <v>8652</v>
      </c>
      <c r="P94" s="25">
        <f>O94*101%</f>
        <v>8738.52</v>
      </c>
      <c r="Q94" s="25">
        <f>O94*102.2%</f>
        <v>8842.344000000001</v>
      </c>
      <c r="R94" s="25">
        <f>P94*101%</f>
        <v>8825.9052000000011</v>
      </c>
      <c r="S94" s="25">
        <f>Q94*102.5%</f>
        <v>9063.4025999999994</v>
      </c>
      <c r="T94" s="25">
        <f>R94*101.1%</f>
        <v>8922.9901571999999</v>
      </c>
      <c r="U94" s="26">
        <f>S94*103.6%</f>
        <v>9389.6850935999992</v>
      </c>
    </row>
    <row r="95" spans="1:21" s="27" customFormat="1" ht="15.6" x14ac:dyDescent="0.25">
      <c r="A95" s="22" t="s">
        <v>61</v>
      </c>
      <c r="B95" s="62" t="s">
        <v>138</v>
      </c>
      <c r="C95" s="24" t="s">
        <v>139</v>
      </c>
      <c r="D95" s="25">
        <f>D94/4100*100</f>
        <v>129.26829268292684</v>
      </c>
      <c r="E95" s="28">
        <f t="shared" ref="E95:Q95" si="42">E94/D94*100</f>
        <v>115.72264150943397</v>
      </c>
      <c r="F95" s="28">
        <f t="shared" si="42"/>
        <v>110.87016777265093</v>
      </c>
      <c r="G95" s="28">
        <f t="shared" si="42"/>
        <v>104.80000000000001</v>
      </c>
      <c r="H95" s="28">
        <f t="shared" si="42"/>
        <v>99.618320610687022</v>
      </c>
      <c r="I95" s="28">
        <f t="shared" si="42"/>
        <v>104.99774622492674</v>
      </c>
      <c r="J95" s="28">
        <f t="shared" si="42"/>
        <v>107.99570700295145</v>
      </c>
      <c r="K95" s="28">
        <f>K94/J94*100</f>
        <v>101.00621118012423</v>
      </c>
      <c r="L95" s="28">
        <f>L94/K94*100</f>
        <v>99.003812569179686</v>
      </c>
      <c r="M95" s="28">
        <f>M94/L94*100</f>
        <v>101.50310559006211</v>
      </c>
      <c r="N95" s="28">
        <f>N94/M94*100</f>
        <v>100.50177456859626</v>
      </c>
      <c r="O95" s="28">
        <f>O94/M94*100</f>
        <v>105.88667237792191</v>
      </c>
      <c r="P95" s="28">
        <f t="shared" si="42"/>
        <v>101</v>
      </c>
      <c r="Q95" s="28">
        <f t="shared" si="42"/>
        <v>101.1881188118812</v>
      </c>
      <c r="R95" s="28">
        <f>R94/P94*100</f>
        <v>101</v>
      </c>
      <c r="S95" s="28">
        <f>S94/Q94*100</f>
        <v>102.49999999999999</v>
      </c>
      <c r="T95" s="28">
        <f>T94/R94*100</f>
        <v>101.1</v>
      </c>
      <c r="U95" s="40">
        <f>U94/S94*100</f>
        <v>103.60000000000001</v>
      </c>
    </row>
    <row r="96" spans="1:21" s="27" customFormat="1" ht="62.4" x14ac:dyDescent="0.25">
      <c r="A96" s="22" t="s">
        <v>63</v>
      </c>
      <c r="B96" s="62" t="s">
        <v>141</v>
      </c>
      <c r="C96" s="24" t="s">
        <v>137</v>
      </c>
      <c r="D96" s="25">
        <v>5600</v>
      </c>
      <c r="E96" s="25">
        <v>7240</v>
      </c>
      <c r="F96" s="25">
        <v>8200</v>
      </c>
      <c r="G96" s="25">
        <f>F96*1.071</f>
        <v>8782.1999999999989</v>
      </c>
      <c r="H96" s="25">
        <v>8765.7999999999993</v>
      </c>
      <c r="I96" s="25">
        <v>9204</v>
      </c>
      <c r="J96" s="25">
        <v>9756</v>
      </c>
      <c r="K96" s="25">
        <v>9658</v>
      </c>
      <c r="L96" s="25">
        <v>9214</v>
      </c>
      <c r="M96" s="25">
        <v>9352</v>
      </c>
      <c r="N96" s="25">
        <f>9410/12*12</f>
        <v>9410</v>
      </c>
      <c r="O96" s="25">
        <v>10257</v>
      </c>
      <c r="P96" s="25">
        <f>O96*100%</f>
        <v>10257</v>
      </c>
      <c r="Q96" s="25">
        <f>O96*102.2%</f>
        <v>10482.654</v>
      </c>
      <c r="R96" s="25">
        <f>P96*100%</f>
        <v>10257</v>
      </c>
      <c r="S96" s="25">
        <f>Q96*102.5%</f>
        <v>10744.72035</v>
      </c>
      <c r="T96" s="25">
        <f>R96*101%</f>
        <v>10359.57</v>
      </c>
      <c r="U96" s="26">
        <f>S96*103.6%</f>
        <v>11131.530282600001</v>
      </c>
    </row>
    <row r="97" spans="1:21" s="27" customFormat="1" ht="16.2" thickBot="1" x14ac:dyDescent="0.3">
      <c r="A97" s="89" t="s">
        <v>65</v>
      </c>
      <c r="B97" s="90" t="s">
        <v>138</v>
      </c>
      <c r="C97" s="91" t="s">
        <v>139</v>
      </c>
      <c r="D97" s="92">
        <f>D96/5200*100</f>
        <v>107.69230769230769</v>
      </c>
      <c r="E97" s="93">
        <f>E96/D96*100</f>
        <v>129.28571428571431</v>
      </c>
      <c r="F97" s="93">
        <f>F96/E96*100</f>
        <v>113.25966850828731</v>
      </c>
      <c r="G97" s="93">
        <f>G96/F96*100</f>
        <v>107.1</v>
      </c>
      <c r="H97" s="93">
        <v>99.813258636788049</v>
      </c>
      <c r="I97" s="93">
        <f t="shared" ref="I97:Q97" si="43">I96/H96*100</f>
        <v>104.99897328252985</v>
      </c>
      <c r="J97" s="93">
        <f t="shared" si="43"/>
        <v>105.99739243807041</v>
      </c>
      <c r="K97" s="93">
        <f t="shared" si="43"/>
        <v>98.995489954899554</v>
      </c>
      <c r="L97" s="93">
        <f t="shared" si="43"/>
        <v>95.402774901635951</v>
      </c>
      <c r="M97" s="93">
        <f>M96/L96*100</f>
        <v>101.49772085956155</v>
      </c>
      <c r="N97" s="93">
        <f>N96/M96*100</f>
        <v>100.62018819503848</v>
      </c>
      <c r="O97" s="93">
        <f>O96/M96*100</f>
        <v>109.67707442258342</v>
      </c>
      <c r="P97" s="93">
        <f t="shared" si="43"/>
        <v>100</v>
      </c>
      <c r="Q97" s="93">
        <f t="shared" si="43"/>
        <v>102.2</v>
      </c>
      <c r="R97" s="93">
        <f>R96/P96*100</f>
        <v>100</v>
      </c>
      <c r="S97" s="93">
        <f>S96/Q96*100</f>
        <v>102.49999999999999</v>
      </c>
      <c r="T97" s="93">
        <f>T96/R96*100</f>
        <v>101</v>
      </c>
      <c r="U97" s="94">
        <f>U96/S96*100</f>
        <v>103.60000000000001</v>
      </c>
    </row>
    <row r="98" spans="1:21" s="2" customFormat="1" x14ac:dyDescent="0.25">
      <c r="A98" s="95"/>
      <c r="B98" s="96"/>
      <c r="C98" s="96"/>
      <c r="D98" s="97"/>
      <c r="E98" s="98"/>
      <c r="F98" s="98"/>
      <c r="G98" s="98"/>
      <c r="H98" s="98"/>
      <c r="I98" s="98"/>
      <c r="J98" s="98"/>
      <c r="K98" s="98"/>
      <c r="L98" s="98"/>
      <c r="M98" s="98"/>
      <c r="N98" s="98"/>
      <c r="O98" s="98"/>
      <c r="P98" s="4"/>
      <c r="Q98" s="4"/>
    </row>
    <row r="99" spans="1:21" s="2" customFormat="1" x14ac:dyDescent="0.25">
      <c r="A99" s="1"/>
      <c r="D99" s="3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</row>
    <row r="100" spans="1:21" s="2" customFormat="1" x14ac:dyDescent="0.25">
      <c r="A100" s="1"/>
      <c r="D100" s="3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</row>
    <row r="101" spans="1:21" s="2" customFormat="1" ht="19.5" customHeight="1" x14ac:dyDescent="0.25">
      <c r="A101" s="124" t="s">
        <v>142</v>
      </c>
      <c r="B101" s="124"/>
      <c r="C101" s="124"/>
      <c r="D101" s="124"/>
      <c r="E101" s="124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4"/>
      <c r="Q101" s="4"/>
    </row>
    <row r="102" spans="1:21" s="2" customFormat="1" x14ac:dyDescent="0.25">
      <c r="A102" s="1"/>
      <c r="D102" s="3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</row>
  </sheetData>
  <mergeCells count="25">
    <mergeCell ref="A101:E101"/>
    <mergeCell ref="M9:M10"/>
    <mergeCell ref="N9:N10"/>
    <mergeCell ref="O9:O10"/>
    <mergeCell ref="P9:Q9"/>
    <mergeCell ref="A9:A10"/>
    <mergeCell ref="B9:B10"/>
    <mergeCell ref="C9:C10"/>
    <mergeCell ref="D9:D10"/>
    <mergeCell ref="E9:E10"/>
    <mergeCell ref="F9:F10"/>
    <mergeCell ref="R9:S9"/>
    <mergeCell ref="T9:U9"/>
    <mergeCell ref="G9:G10"/>
    <mergeCell ref="H9:H10"/>
    <mergeCell ref="I9:I10"/>
    <mergeCell ref="J9:J10"/>
    <mergeCell ref="K9:K10"/>
    <mergeCell ref="L9:L10"/>
    <mergeCell ref="A7:U7"/>
    <mergeCell ref="P1:U1"/>
    <mergeCell ref="P2:U2"/>
    <mergeCell ref="P3:U3"/>
    <mergeCell ref="A5:U5"/>
    <mergeCell ref="A6:U6"/>
  </mergeCells>
  <printOptions horizontalCentered="1"/>
  <pageMargins left="0" right="0" top="0.39370078740157483" bottom="0.19685039370078741" header="0.19685039370078741" footer="0"/>
  <pageSetup paperSize="9" scale="61" fitToHeight="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Итоги за 2023!</vt:lpstr>
      <vt:lpstr>Прогноз на 2025-2027!!!</vt:lpstr>
      <vt:lpstr>Прогноз на 2024-2026!!!</vt:lpstr>
      <vt:lpstr>'Итоги за 2023!'!Заголовки_для_печати</vt:lpstr>
      <vt:lpstr>'Прогноз на 2024-2026!!!'!Заголовки_для_печати</vt:lpstr>
      <vt:lpstr>'Прогноз на 2025-2027!!!'!Заголовки_для_печати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Н. Пронина</dc:creator>
  <cp:lastModifiedBy>Татьяна Н. Пронина</cp:lastModifiedBy>
  <cp:lastPrinted>2024-08-12T11:39:28Z</cp:lastPrinted>
  <dcterms:created xsi:type="dcterms:W3CDTF">2024-03-29T10:44:17Z</dcterms:created>
  <dcterms:modified xsi:type="dcterms:W3CDTF">2024-10-18T04:48:37Z</dcterms:modified>
</cp:coreProperties>
</file>